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10. Octubre 2021\"/>
    </mc:Choice>
  </mc:AlternateContent>
  <bookViews>
    <workbookView xWindow="-120" yWindow="-120" windowWidth="20736" windowHeight="11160" tabRatio="845" activeTab="2"/>
  </bookViews>
  <sheets>
    <sheet name="ESTRUCTURA oil (no)" sheetId="5" r:id="rId1"/>
    <sheet name="ESTRUCTURA gas (no)" sheetId="76" r:id="rId2"/>
    <sheet name="PRODUCCIÓN DE HC" sheetId="15292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tabla">#REF!</definedName>
    <definedName name="_xlnm.Print_Titles" localSheetId="0">'ESTRUCTURA oil (no)'!$5:$7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41" i="5" l="1"/>
  <c r="P338" i="76" l="1"/>
  <c r="AK332" i="5"/>
  <c r="P337" i="76" l="1"/>
  <c r="P336" i="76"/>
  <c r="P335" i="76"/>
  <c r="P334" i="76"/>
  <c r="P333" i="76"/>
  <c r="P332" i="76"/>
  <c r="P331" i="76"/>
  <c r="P330" i="76"/>
  <c r="P329" i="76"/>
  <c r="AK340" i="5"/>
  <c r="AK333" i="5"/>
  <c r="AK339" i="5" l="1"/>
  <c r="AK338" i="5"/>
  <c r="AK337" i="5"/>
  <c r="AJ333" i="5"/>
  <c r="AK336" i="5"/>
  <c r="AK335" i="5" l="1"/>
  <c r="AK334" i="5"/>
  <c r="O330" i="76"/>
  <c r="O331" i="76" s="1"/>
  <c r="O332" i="76" s="1"/>
  <c r="O333" i="76" s="1"/>
  <c r="O334" i="76" s="1"/>
  <c r="O335" i="76" s="1"/>
  <c r="O336" i="76" s="1"/>
  <c r="O337" i="76" s="1"/>
  <c r="O338" i="76" s="1"/>
  <c r="O339" i="76" s="1"/>
  <c r="O340" i="76" s="1"/>
  <c r="AJ334" i="5"/>
  <c r="AJ335" i="5" s="1"/>
  <c r="AJ336" i="5" s="1"/>
  <c r="AJ337" i="5" s="1"/>
  <c r="AJ338" i="5" s="1"/>
  <c r="AJ339" i="5" s="1"/>
  <c r="AJ340" i="5" s="1"/>
  <c r="AJ341" i="5" s="1"/>
  <c r="AJ342" i="5" s="1"/>
  <c r="AJ343" i="5" s="1"/>
  <c r="P328" i="76" l="1"/>
  <c r="AK331" i="5"/>
  <c r="R305" i="76"/>
  <c r="Q313" i="76"/>
  <c r="P327" i="76"/>
  <c r="AK330" i="5"/>
  <c r="AK320" i="5"/>
  <c r="AK329" i="5"/>
  <c r="P326" i="76"/>
  <c r="P325" i="76"/>
  <c r="AK328" i="5"/>
  <c r="P324" i="76"/>
  <c r="AK327" i="5"/>
  <c r="P323" i="76"/>
  <c r="AK326" i="5"/>
  <c r="P322" i="76"/>
  <c r="AK325" i="5"/>
  <c r="P321" i="76"/>
  <c r="AK324" i="5"/>
  <c r="P320" i="76"/>
  <c r="AK323" i="5"/>
  <c r="P319" i="76"/>
  <c r="AK322" i="5"/>
  <c r="AK321" i="5"/>
  <c r="P318" i="76"/>
  <c r="P317" i="76"/>
  <c r="P316" i="76"/>
  <c r="AK319" i="5"/>
  <c r="P315" i="76"/>
  <c r="AK318" i="5"/>
  <c r="AK317" i="5"/>
  <c r="P314" i="76"/>
  <c r="P313" i="76"/>
  <c r="AK316" i="5"/>
  <c r="P312" i="76"/>
  <c r="AK315" i="5"/>
  <c r="P311" i="76"/>
  <c r="P310" i="76"/>
  <c r="AK313" i="5"/>
  <c r="AK312" i="5"/>
  <c r="AK314" i="5"/>
  <c r="P309" i="76"/>
  <c r="P308" i="76"/>
  <c r="AK311" i="5"/>
  <c r="AK310" i="5"/>
  <c r="P307" i="76"/>
  <c r="P306" i="76"/>
  <c r="AK308" i="5"/>
  <c r="AK309" i="5"/>
  <c r="P304" i="76"/>
  <c r="P305" i="76"/>
  <c r="AK98" i="5"/>
  <c r="AL98" i="5" s="1"/>
  <c r="AK307" i="5"/>
  <c r="AK306" i="5"/>
  <c r="P303" i="76"/>
  <c r="P302" i="76"/>
  <c r="AK304" i="5"/>
  <c r="AK305" i="5"/>
  <c r="P301" i="76"/>
  <c r="AK303" i="5"/>
  <c r="P300" i="76"/>
  <c r="AK295" i="5"/>
  <c r="P299" i="76"/>
  <c r="AK302" i="5"/>
  <c r="P298" i="76"/>
  <c r="AK301" i="5"/>
  <c r="P297" i="76"/>
  <c r="AK300" i="5"/>
  <c r="P296" i="76"/>
  <c r="AK299" i="5"/>
  <c r="P295" i="76"/>
  <c r="AK298" i="5"/>
  <c r="P293" i="76"/>
  <c r="AK297" i="5"/>
  <c r="P294" i="76"/>
  <c r="O294" i="76"/>
  <c r="O295" i="76" s="1"/>
  <c r="O296" i="76" s="1"/>
  <c r="O297" i="76" s="1"/>
  <c r="O298" i="76" s="1"/>
  <c r="O299" i="76" s="1"/>
  <c r="O300" i="76" s="1"/>
  <c r="O301" i="76" s="1"/>
  <c r="O302" i="76" s="1"/>
  <c r="O303" i="76" s="1"/>
  <c r="O304" i="76" s="1"/>
  <c r="AK296" i="5"/>
  <c r="AJ297" i="5"/>
  <c r="AJ298" i="5"/>
  <c r="AJ299" i="5" s="1"/>
  <c r="AJ300" i="5" s="1"/>
  <c r="AJ301" i="5" s="1"/>
  <c r="AJ302" i="5" s="1"/>
  <c r="AJ303" i="5" s="1"/>
  <c r="AJ304" i="5" s="1"/>
  <c r="AJ305" i="5" s="1"/>
  <c r="AJ306" i="5" s="1"/>
  <c r="AJ307" i="5" s="1"/>
  <c r="AK294" i="5"/>
  <c r="P291" i="76"/>
  <c r="P290" i="76"/>
  <c r="O282" i="76"/>
  <c r="O283" i="76" s="1"/>
  <c r="O284" i="76" s="1"/>
  <c r="O285" i="76" s="1"/>
  <c r="O286" i="76" s="1"/>
  <c r="O287" i="76" s="1"/>
  <c r="O288" i="76" s="1"/>
  <c r="O289" i="76" s="1"/>
  <c r="O290" i="76" s="1"/>
  <c r="O291" i="76" s="1"/>
  <c r="O292" i="76" s="1"/>
  <c r="AK293" i="5"/>
  <c r="AJ285" i="5"/>
  <c r="AJ286" i="5" s="1"/>
  <c r="AJ287" i="5" s="1"/>
  <c r="AJ288" i="5" s="1"/>
  <c r="AJ289" i="5" s="1"/>
  <c r="AJ290" i="5" s="1"/>
  <c r="AJ291" i="5" s="1"/>
  <c r="AJ292" i="5" s="1"/>
  <c r="AJ293" i="5" s="1"/>
  <c r="AJ294" i="5" s="1"/>
  <c r="AJ295" i="5" s="1"/>
  <c r="AI284" i="5"/>
  <c r="AK291" i="5"/>
  <c r="AK292" i="5"/>
  <c r="AK290" i="5"/>
  <c r="P286" i="76"/>
  <c r="AK289" i="5"/>
  <c r="AK288" i="5"/>
  <c r="O270" i="76"/>
  <c r="O271" i="76" s="1"/>
  <c r="O272" i="76" s="1"/>
  <c r="O273" i="76" s="1"/>
  <c r="O274" i="76" s="1"/>
  <c r="O275" i="76" s="1"/>
  <c r="O276" i="76" s="1"/>
  <c r="O277" i="76" s="1"/>
  <c r="O278" i="76" s="1"/>
  <c r="O279" i="76" s="1"/>
  <c r="O280" i="76" s="1"/>
  <c r="P285" i="76"/>
  <c r="P287" i="76"/>
  <c r="P288" i="76"/>
  <c r="P289" i="76"/>
  <c r="P292" i="76"/>
  <c r="P284" i="76"/>
  <c r="AK287" i="5"/>
  <c r="P283" i="76"/>
  <c r="AK286" i="5"/>
  <c r="N281" i="76"/>
  <c r="P282" i="76" s="1"/>
  <c r="N280" i="76"/>
  <c r="N279" i="76"/>
  <c r="N278" i="76"/>
  <c r="AI281" i="5"/>
  <c r="N277" i="76"/>
  <c r="P277" i="76" s="1"/>
  <c r="AI280" i="5"/>
  <c r="AI282" i="5"/>
  <c r="AI283" i="5"/>
  <c r="N276" i="76"/>
  <c r="AI279" i="5"/>
  <c r="N275" i="76"/>
  <c r="AI272" i="5"/>
  <c r="AI278" i="5"/>
  <c r="N274" i="76"/>
  <c r="AI277" i="5"/>
  <c r="AI276" i="5"/>
  <c r="AK277" i="5" s="1"/>
  <c r="N273" i="76"/>
  <c r="AI275" i="5"/>
  <c r="N272" i="76"/>
  <c r="N271" i="76"/>
  <c r="AI274" i="5"/>
  <c r="AK275" i="5" s="1"/>
  <c r="N270" i="76"/>
  <c r="AJ273" i="5"/>
  <c r="AJ274" i="5" s="1"/>
  <c r="AJ275" i="5" s="1"/>
  <c r="AJ276" i="5" s="1"/>
  <c r="AJ277" i="5" s="1"/>
  <c r="AJ278" i="5" s="1"/>
  <c r="AJ279" i="5" s="1"/>
  <c r="AJ280" i="5" s="1"/>
  <c r="AJ281" i="5" s="1"/>
  <c r="AJ282" i="5" s="1"/>
  <c r="AJ283" i="5" s="1"/>
  <c r="AI273" i="5"/>
  <c r="N269" i="76"/>
  <c r="P270" i="76" s="1"/>
  <c r="S271" i="5"/>
  <c r="AI271" i="5"/>
  <c r="AK271" i="5" s="1"/>
  <c r="N257" i="76"/>
  <c r="N268" i="76"/>
  <c r="AI270" i="5"/>
  <c r="N267" i="76"/>
  <c r="AI269" i="5"/>
  <c r="N266" i="76"/>
  <c r="N265" i="76"/>
  <c r="AJ248" i="5"/>
  <c r="AJ249" i="5" s="1"/>
  <c r="AJ250" i="5" s="1"/>
  <c r="AJ251" i="5" s="1"/>
  <c r="AJ252" i="5" s="1"/>
  <c r="AJ253" i="5" s="1"/>
  <c r="AJ254" i="5" s="1"/>
  <c r="AJ255" i="5" s="1"/>
  <c r="AJ256" i="5" s="1"/>
  <c r="AJ257" i="5" s="1"/>
  <c r="AJ258" i="5" s="1"/>
  <c r="AJ259" i="5" s="1"/>
  <c r="S268" i="5"/>
  <c r="AI268" i="5" s="1"/>
  <c r="S267" i="5"/>
  <c r="AI267" i="5" s="1"/>
  <c r="N264" i="76"/>
  <c r="P265" i="76" s="1"/>
  <c r="N263" i="76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2" i="5" s="1"/>
  <c r="C333" i="5" s="1"/>
  <c r="C334" i="5" s="1"/>
  <c r="C335" i="5" s="1"/>
  <c r="C336" i="5" s="1"/>
  <c r="C337" i="5" s="1"/>
  <c r="C338" i="5" s="1"/>
  <c r="C339" i="5" s="1"/>
  <c r="C340" i="5" s="1"/>
  <c r="C341" i="5" s="1"/>
  <c r="C342" i="5" s="1"/>
  <c r="C343" i="5" s="1"/>
  <c r="AI266" i="5"/>
  <c r="N262" i="76"/>
  <c r="AI265" i="5"/>
  <c r="N261" i="76"/>
  <c r="P262" i="76" s="1"/>
  <c r="AI264" i="5"/>
  <c r="AK264" i="5" s="1"/>
  <c r="N260" i="76"/>
  <c r="AI263" i="5"/>
  <c r="B245" i="76"/>
  <c r="B246" i="76" s="1"/>
  <c r="B247" i="76" s="1"/>
  <c r="B248" i="76" s="1"/>
  <c r="B249" i="76" s="1"/>
  <c r="B250" i="76" s="1"/>
  <c r="B251" i="76" s="1"/>
  <c r="B252" i="76" s="1"/>
  <c r="B253" i="76" s="1"/>
  <c r="B254" i="76" s="1"/>
  <c r="B255" i="76" s="1"/>
  <c r="B256" i="76" s="1"/>
  <c r="B257" i="76" s="1"/>
  <c r="B258" i="76" s="1"/>
  <c r="B259" i="76" s="1"/>
  <c r="B260" i="76" s="1"/>
  <c r="B261" i="76" s="1"/>
  <c r="B262" i="76" s="1"/>
  <c r="B263" i="76" s="1"/>
  <c r="B264" i="76" s="1"/>
  <c r="B265" i="76" s="1"/>
  <c r="B266" i="76" s="1"/>
  <c r="B267" i="76" s="1"/>
  <c r="B268" i="76" s="1"/>
  <c r="B269" i="76" s="1"/>
  <c r="B270" i="76" s="1"/>
  <c r="B271" i="76" s="1"/>
  <c r="B272" i="76" s="1"/>
  <c r="B273" i="76" s="1"/>
  <c r="B274" i="76" s="1"/>
  <c r="B275" i="76" s="1"/>
  <c r="B276" i="76" s="1"/>
  <c r="B277" i="76" s="1"/>
  <c r="B278" i="76" s="1"/>
  <c r="B279" i="76" s="1"/>
  <c r="B280" i="76" s="1"/>
  <c r="B281" i="76" s="1"/>
  <c r="B282" i="76" s="1"/>
  <c r="B283" i="76" s="1"/>
  <c r="B284" i="76" s="1"/>
  <c r="B285" i="76" s="1"/>
  <c r="B286" i="76" s="1"/>
  <c r="B287" i="76" s="1"/>
  <c r="B288" i="76" s="1"/>
  <c r="B289" i="76" s="1"/>
  <c r="B290" i="76" s="1"/>
  <c r="B291" i="76" s="1"/>
  <c r="B292" i="76" s="1"/>
  <c r="B293" i="76" s="1"/>
  <c r="B294" i="76" s="1"/>
  <c r="B295" i="76" s="1"/>
  <c r="B296" i="76" s="1"/>
  <c r="B297" i="76" s="1"/>
  <c r="B298" i="76" s="1"/>
  <c r="B299" i="76" s="1"/>
  <c r="B300" i="76" s="1"/>
  <c r="B301" i="76" s="1"/>
  <c r="B302" i="76" s="1"/>
  <c r="B303" i="76" s="1"/>
  <c r="B304" i="76" s="1"/>
  <c r="B305" i="76" s="1"/>
  <c r="B306" i="76" s="1"/>
  <c r="B307" i="76" s="1"/>
  <c r="B308" i="76" s="1"/>
  <c r="B309" i="76" s="1"/>
  <c r="B310" i="76" s="1"/>
  <c r="B311" i="76" s="1"/>
  <c r="B312" i="76" s="1"/>
  <c r="B313" i="76" s="1"/>
  <c r="B314" i="76" s="1"/>
  <c r="B315" i="76" s="1"/>
  <c r="B316" i="76" s="1"/>
  <c r="B317" i="76" s="1"/>
  <c r="B318" i="76" s="1"/>
  <c r="B319" i="76" s="1"/>
  <c r="B320" i="76" s="1"/>
  <c r="B321" i="76" s="1"/>
  <c r="B322" i="76" s="1"/>
  <c r="B323" i="76" s="1"/>
  <c r="B324" i="76" s="1"/>
  <c r="B325" i="76" s="1"/>
  <c r="B326" i="76" s="1"/>
  <c r="B327" i="76" s="1"/>
  <c r="B328" i="76" s="1"/>
  <c r="B329" i="76" s="1"/>
  <c r="B330" i="76" s="1"/>
  <c r="B331" i="76" s="1"/>
  <c r="B332" i="76" s="1"/>
  <c r="B333" i="76" s="1"/>
  <c r="B334" i="76" s="1"/>
  <c r="B335" i="76" s="1"/>
  <c r="B336" i="76" s="1"/>
  <c r="B337" i="76" s="1"/>
  <c r="B338" i="76" s="1"/>
  <c r="B339" i="76" s="1"/>
  <c r="B340" i="76" s="1"/>
  <c r="N259" i="76"/>
  <c r="AI262" i="5"/>
  <c r="O258" i="76"/>
  <c r="O259" i="76" s="1"/>
  <c r="O260" i="76" s="1"/>
  <c r="O261" i="76" s="1"/>
  <c r="O262" i="76" s="1"/>
  <c r="O263" i="76" s="1"/>
  <c r="O264" i="76" s="1"/>
  <c r="O265" i="76" s="1"/>
  <c r="O266" i="76" s="1"/>
  <c r="O267" i="76" s="1"/>
  <c r="O268" i="76" s="1"/>
  <c r="N258" i="76"/>
  <c r="AJ261" i="5"/>
  <c r="AJ262" i="5" s="1"/>
  <c r="AJ263" i="5" s="1"/>
  <c r="AJ264" i="5" s="1"/>
  <c r="AJ265" i="5" s="1"/>
  <c r="AJ266" i="5" s="1"/>
  <c r="AJ267" i="5" s="1"/>
  <c r="AJ268" i="5" s="1"/>
  <c r="AJ269" i="5" s="1"/>
  <c r="AJ270" i="5" s="1"/>
  <c r="AJ271" i="5" s="1"/>
  <c r="AI261" i="5"/>
  <c r="AI260" i="5"/>
  <c r="O245" i="76"/>
  <c r="O246" i="76" s="1"/>
  <c r="O247" i="76" s="1"/>
  <c r="O248" i="76" s="1"/>
  <c r="O249" i="76" s="1"/>
  <c r="O250" i="76" s="1"/>
  <c r="O251" i="76" s="1"/>
  <c r="O252" i="76" s="1"/>
  <c r="O253" i="76" s="1"/>
  <c r="O254" i="76" s="1"/>
  <c r="O255" i="76" s="1"/>
  <c r="O256" i="76" s="1"/>
  <c r="N256" i="76"/>
  <c r="P256" i="76" s="1"/>
  <c r="N255" i="76"/>
  <c r="AI258" i="5"/>
  <c r="AI259" i="5"/>
  <c r="N254" i="76"/>
  <c r="S257" i="5"/>
  <c r="AI257" i="5" s="1"/>
  <c r="N253" i="76"/>
  <c r="S256" i="5"/>
  <c r="AI256" i="5" s="1"/>
  <c r="N251" i="76"/>
  <c r="N252" i="76"/>
  <c r="AI255" i="5"/>
  <c r="AI254" i="5"/>
  <c r="AK254" i="5" s="1"/>
  <c r="N250" i="76"/>
  <c r="P251" i="76" s="1"/>
  <c r="AI253" i="5"/>
  <c r="M249" i="76"/>
  <c r="L249" i="76"/>
  <c r="K249" i="76"/>
  <c r="J249" i="76"/>
  <c r="H249" i="76"/>
  <c r="I249" i="76"/>
  <c r="G249" i="76"/>
  <c r="E249" i="76"/>
  <c r="F249" i="76"/>
  <c r="D249" i="76"/>
  <c r="AD252" i="5"/>
  <c r="AC252" i="5"/>
  <c r="Z252" i="5"/>
  <c r="Y252" i="5"/>
  <c r="X252" i="5"/>
  <c r="W252" i="5"/>
  <c r="U252" i="5"/>
  <c r="T252" i="5"/>
  <c r="S252" i="5"/>
  <c r="R252" i="5"/>
  <c r="Q252" i="5"/>
  <c r="O252" i="5"/>
  <c r="M252" i="5"/>
  <c r="L252" i="5"/>
  <c r="J252" i="5"/>
  <c r="I252" i="5"/>
  <c r="H252" i="5"/>
  <c r="G252" i="5"/>
  <c r="F252" i="5"/>
  <c r="E252" i="5"/>
  <c r="M248" i="76"/>
  <c r="L248" i="76"/>
  <c r="K248" i="76"/>
  <c r="J248" i="76"/>
  <c r="H248" i="76"/>
  <c r="I248" i="76"/>
  <c r="G248" i="76"/>
  <c r="E248" i="76"/>
  <c r="F248" i="76"/>
  <c r="D248" i="76"/>
  <c r="AD251" i="5"/>
  <c r="AC251" i="5"/>
  <c r="Z251" i="5"/>
  <c r="Y251" i="5"/>
  <c r="X251" i="5"/>
  <c r="W251" i="5"/>
  <c r="U251" i="5"/>
  <c r="T251" i="5"/>
  <c r="S251" i="5"/>
  <c r="R251" i="5"/>
  <c r="Q251" i="5"/>
  <c r="O251" i="5"/>
  <c r="M251" i="5"/>
  <c r="L251" i="5"/>
  <c r="J251" i="5"/>
  <c r="I251" i="5"/>
  <c r="H251" i="5"/>
  <c r="G251" i="5"/>
  <c r="F251" i="5"/>
  <c r="E251" i="5"/>
  <c r="L247" i="76"/>
  <c r="M247" i="76"/>
  <c r="K247" i="76"/>
  <c r="J247" i="76"/>
  <c r="H247" i="76"/>
  <c r="I247" i="76"/>
  <c r="G247" i="76"/>
  <c r="E247" i="76"/>
  <c r="F247" i="76"/>
  <c r="D247" i="76"/>
  <c r="S250" i="5"/>
  <c r="Z250" i="5"/>
  <c r="AE250" i="5"/>
  <c r="AD250" i="5"/>
  <c r="AC250" i="5"/>
  <c r="Y250" i="5"/>
  <c r="X250" i="5"/>
  <c r="W250" i="5"/>
  <c r="U250" i="5"/>
  <c r="T250" i="5"/>
  <c r="R250" i="5"/>
  <c r="Q250" i="5"/>
  <c r="O250" i="5"/>
  <c r="M250" i="5"/>
  <c r="L250" i="5"/>
  <c r="J250" i="5"/>
  <c r="G250" i="5"/>
  <c r="F250" i="5"/>
  <c r="E250" i="5"/>
  <c r="M246" i="76"/>
  <c r="K246" i="76"/>
  <c r="J246" i="76"/>
  <c r="H246" i="76"/>
  <c r="I246" i="76"/>
  <c r="G246" i="76"/>
  <c r="E246" i="76"/>
  <c r="F246" i="76"/>
  <c r="D246" i="76"/>
  <c r="AD249" i="5"/>
  <c r="AC249" i="5"/>
  <c r="Y249" i="5"/>
  <c r="X249" i="5"/>
  <c r="W249" i="5"/>
  <c r="U249" i="5"/>
  <c r="S249" i="5"/>
  <c r="T249" i="5"/>
  <c r="R249" i="5"/>
  <c r="Q249" i="5"/>
  <c r="O249" i="5"/>
  <c r="M249" i="5"/>
  <c r="L249" i="5"/>
  <c r="J249" i="5"/>
  <c r="I249" i="5"/>
  <c r="H249" i="5"/>
  <c r="G249" i="5"/>
  <c r="F249" i="5"/>
  <c r="E249" i="5"/>
  <c r="M245" i="76"/>
  <c r="K245" i="76"/>
  <c r="J245" i="76"/>
  <c r="I245" i="76"/>
  <c r="H245" i="76"/>
  <c r="G245" i="76"/>
  <c r="E245" i="76"/>
  <c r="F245" i="76"/>
  <c r="D245" i="76"/>
  <c r="AD248" i="5"/>
  <c r="AC248" i="5"/>
  <c r="Y248" i="5"/>
  <c r="X248" i="5"/>
  <c r="W248" i="5"/>
  <c r="U248" i="5"/>
  <c r="T248" i="5"/>
  <c r="S248" i="5"/>
  <c r="R248" i="5"/>
  <c r="Q248" i="5"/>
  <c r="O248" i="5"/>
  <c r="M248" i="5"/>
  <c r="L248" i="5"/>
  <c r="J248" i="5"/>
  <c r="I248" i="5"/>
  <c r="H248" i="5"/>
  <c r="G248" i="5"/>
  <c r="F248" i="5"/>
  <c r="E248" i="5"/>
  <c r="F244" i="76"/>
  <c r="M244" i="76"/>
  <c r="K244" i="76"/>
  <c r="J244" i="76"/>
  <c r="H244" i="76"/>
  <c r="I244" i="76"/>
  <c r="G244" i="76"/>
  <c r="E244" i="76"/>
  <c r="D244" i="76"/>
  <c r="S247" i="5"/>
  <c r="AC247" i="5"/>
  <c r="Y247" i="5"/>
  <c r="X247" i="5"/>
  <c r="W247" i="5"/>
  <c r="U247" i="5"/>
  <c r="T247" i="5"/>
  <c r="R247" i="5"/>
  <c r="Q247" i="5"/>
  <c r="O247" i="5"/>
  <c r="M247" i="5"/>
  <c r="L247" i="5"/>
  <c r="J247" i="5"/>
  <c r="I247" i="5"/>
  <c r="H247" i="5"/>
  <c r="G247" i="5"/>
  <c r="F247" i="5"/>
  <c r="E247" i="5"/>
  <c r="M243" i="76"/>
  <c r="K243" i="76"/>
  <c r="J243" i="76"/>
  <c r="H243" i="76"/>
  <c r="I243" i="76"/>
  <c r="G243" i="76"/>
  <c r="E243" i="76"/>
  <c r="F243" i="76"/>
  <c r="D243" i="76"/>
  <c r="S246" i="5"/>
  <c r="AC246" i="5"/>
  <c r="Y246" i="5"/>
  <c r="X246" i="5"/>
  <c r="W246" i="5"/>
  <c r="U246" i="5"/>
  <c r="T246" i="5"/>
  <c r="R246" i="5"/>
  <c r="O246" i="5"/>
  <c r="M246" i="5"/>
  <c r="J246" i="5"/>
  <c r="G246" i="5"/>
  <c r="E246" i="5"/>
  <c r="G242" i="76"/>
  <c r="D242" i="76"/>
  <c r="M242" i="76"/>
  <c r="K242" i="76"/>
  <c r="J242" i="76"/>
  <c r="H242" i="76"/>
  <c r="I242" i="76"/>
  <c r="E242" i="76"/>
  <c r="F242" i="76"/>
  <c r="S245" i="5"/>
  <c r="AC245" i="5"/>
  <c r="Y245" i="5"/>
  <c r="X245" i="5"/>
  <c r="W245" i="5"/>
  <c r="U245" i="5"/>
  <c r="R245" i="5"/>
  <c r="Q245" i="5"/>
  <c r="O245" i="5"/>
  <c r="M245" i="5"/>
  <c r="L245" i="5"/>
  <c r="J245" i="5"/>
  <c r="I245" i="5"/>
  <c r="H245" i="5"/>
  <c r="G245" i="5"/>
  <c r="F245" i="5"/>
  <c r="E245" i="5"/>
  <c r="M241" i="76"/>
  <c r="K241" i="76"/>
  <c r="J241" i="76"/>
  <c r="H241" i="76"/>
  <c r="I241" i="76"/>
  <c r="G241" i="76"/>
  <c r="E241" i="76"/>
  <c r="F241" i="76"/>
  <c r="D241" i="76"/>
  <c r="AC244" i="5"/>
  <c r="AM244" i="5"/>
  <c r="AM245" i="5"/>
  <c r="W244" i="5"/>
  <c r="Y244" i="5"/>
  <c r="X244" i="5"/>
  <c r="U244" i="5"/>
  <c r="T244" i="5"/>
  <c r="S244" i="5"/>
  <c r="O244" i="5"/>
  <c r="M244" i="5"/>
  <c r="J244" i="5"/>
  <c r="H244" i="5"/>
  <c r="G244" i="5"/>
  <c r="F244" i="5"/>
  <c r="E244" i="5"/>
  <c r="O234" i="76"/>
  <c r="O235" i="76" s="1"/>
  <c r="O236" i="76" s="1"/>
  <c r="O237" i="76" s="1"/>
  <c r="O238" i="76" s="1"/>
  <c r="O239" i="76" s="1"/>
  <c r="O240" i="76" s="1"/>
  <c r="O241" i="76" s="1"/>
  <c r="O242" i="76" s="1"/>
  <c r="O243" i="76" s="1"/>
  <c r="O244" i="76" s="1"/>
  <c r="M240" i="76"/>
  <c r="K240" i="76"/>
  <c r="J240" i="76"/>
  <c r="H240" i="76"/>
  <c r="F240" i="76"/>
  <c r="I240" i="76"/>
  <c r="G240" i="76"/>
  <c r="E240" i="76"/>
  <c r="D240" i="76"/>
  <c r="S243" i="5"/>
  <c r="AC243" i="5"/>
  <c r="Y243" i="5"/>
  <c r="X243" i="5"/>
  <c r="W243" i="5"/>
  <c r="U243" i="5"/>
  <c r="R243" i="5"/>
  <c r="Q243" i="5"/>
  <c r="O243" i="5"/>
  <c r="M243" i="5"/>
  <c r="L243" i="5"/>
  <c r="J243" i="5"/>
  <c r="I243" i="5"/>
  <c r="H243" i="5"/>
  <c r="G243" i="5"/>
  <c r="F243" i="5"/>
  <c r="AI243" i="5" s="1"/>
  <c r="E243" i="5"/>
  <c r="M239" i="76"/>
  <c r="K239" i="76"/>
  <c r="J239" i="76"/>
  <c r="H239" i="76"/>
  <c r="I239" i="76"/>
  <c r="G239" i="76"/>
  <c r="E239" i="76"/>
  <c r="F239" i="76"/>
  <c r="D239" i="76"/>
  <c r="AJ237" i="5"/>
  <c r="AJ238" i="5" s="1"/>
  <c r="AJ239" i="5" s="1"/>
  <c r="AJ240" i="5" s="1"/>
  <c r="AJ241" i="5" s="1"/>
  <c r="AJ242" i="5" s="1"/>
  <c r="AJ243" i="5" s="1"/>
  <c r="AJ244" i="5" s="1"/>
  <c r="AJ245" i="5" s="1"/>
  <c r="AJ246" i="5" s="1"/>
  <c r="AJ247" i="5" s="1"/>
  <c r="AC242" i="5"/>
  <c r="Y242" i="5"/>
  <c r="X242" i="5"/>
  <c r="W242" i="5"/>
  <c r="U242" i="5"/>
  <c r="T242" i="5"/>
  <c r="S242" i="5"/>
  <c r="R242" i="5"/>
  <c r="Q242" i="5"/>
  <c r="O242" i="5"/>
  <c r="M242" i="5"/>
  <c r="L242" i="5"/>
  <c r="J242" i="5"/>
  <c r="I242" i="5"/>
  <c r="H242" i="5"/>
  <c r="G242" i="5"/>
  <c r="F242" i="5"/>
  <c r="E242" i="5"/>
  <c r="M238" i="76"/>
  <c r="K238" i="76"/>
  <c r="J238" i="76"/>
  <c r="H238" i="76"/>
  <c r="I238" i="76"/>
  <c r="G238" i="76"/>
  <c r="F237" i="76"/>
  <c r="E237" i="76"/>
  <c r="E238" i="76"/>
  <c r="F238" i="76"/>
  <c r="D238" i="76"/>
  <c r="Y241" i="5"/>
  <c r="AC241" i="5"/>
  <c r="X241" i="5"/>
  <c r="W241" i="5"/>
  <c r="U241" i="5"/>
  <c r="T241" i="5"/>
  <c r="S241" i="5"/>
  <c r="R241" i="5"/>
  <c r="Q241" i="5"/>
  <c r="O241" i="5"/>
  <c r="M241" i="5"/>
  <c r="L241" i="5"/>
  <c r="J241" i="5"/>
  <c r="I241" i="5"/>
  <c r="H241" i="5"/>
  <c r="G241" i="5"/>
  <c r="F241" i="5"/>
  <c r="E241" i="5"/>
  <c r="K237" i="76"/>
  <c r="J237" i="76"/>
  <c r="M237" i="76"/>
  <c r="H237" i="76"/>
  <c r="I237" i="76"/>
  <c r="G237" i="76"/>
  <c r="D237" i="76"/>
  <c r="S240" i="5"/>
  <c r="AC240" i="5"/>
  <c r="Y240" i="5"/>
  <c r="X240" i="5"/>
  <c r="W240" i="5"/>
  <c r="U240" i="5"/>
  <c r="T240" i="5"/>
  <c r="R240" i="5"/>
  <c r="Q240" i="5"/>
  <c r="O240" i="5"/>
  <c r="M240" i="5"/>
  <c r="L240" i="5"/>
  <c r="J240" i="5"/>
  <c r="I240" i="5"/>
  <c r="H240" i="5"/>
  <c r="G240" i="5"/>
  <c r="F240" i="5"/>
  <c r="E240" i="5"/>
  <c r="M236" i="76"/>
  <c r="K236" i="76"/>
  <c r="J236" i="76"/>
  <c r="H236" i="76"/>
  <c r="I236" i="76"/>
  <c r="G236" i="76"/>
  <c r="E236" i="76"/>
  <c r="F236" i="76"/>
  <c r="D236" i="76"/>
  <c r="AC239" i="5"/>
  <c r="Y239" i="5"/>
  <c r="X239" i="5"/>
  <c r="S239" i="5"/>
  <c r="U239" i="5"/>
  <c r="W239" i="5"/>
  <c r="T239" i="5"/>
  <c r="R239" i="5"/>
  <c r="Q239" i="5"/>
  <c r="O239" i="5"/>
  <c r="M239" i="5"/>
  <c r="L239" i="5"/>
  <c r="J239" i="5"/>
  <c r="I239" i="5"/>
  <c r="H239" i="5"/>
  <c r="G239" i="5"/>
  <c r="F239" i="5"/>
  <c r="E239" i="5"/>
  <c r="E235" i="76"/>
  <c r="M235" i="76"/>
  <c r="K235" i="76"/>
  <c r="J235" i="76"/>
  <c r="I235" i="76"/>
  <c r="H235" i="76"/>
  <c r="G235" i="76"/>
  <c r="F235" i="76"/>
  <c r="D235" i="76"/>
  <c r="AC238" i="5"/>
  <c r="Y238" i="5"/>
  <c r="X238" i="5"/>
  <c r="W238" i="5"/>
  <c r="U238" i="5"/>
  <c r="T238" i="5"/>
  <c r="S238" i="5"/>
  <c r="O238" i="5"/>
  <c r="M238" i="5"/>
  <c r="L238" i="5"/>
  <c r="J238" i="5"/>
  <c r="I238" i="5"/>
  <c r="H238" i="5"/>
  <c r="G238" i="5"/>
  <c r="F238" i="5"/>
  <c r="E238" i="5"/>
  <c r="M234" i="76"/>
  <c r="K234" i="76"/>
  <c r="J234" i="76"/>
  <c r="H234" i="76"/>
  <c r="I234" i="76"/>
  <c r="G234" i="76"/>
  <c r="E234" i="76"/>
  <c r="F234" i="76"/>
  <c r="D234" i="76"/>
  <c r="AG237" i="5"/>
  <c r="AF237" i="5"/>
  <c r="AC237" i="5"/>
  <c r="AB237" i="5"/>
  <c r="AA237" i="5"/>
  <c r="Y237" i="5"/>
  <c r="X237" i="5"/>
  <c r="W237" i="5"/>
  <c r="U237" i="5"/>
  <c r="T237" i="5"/>
  <c r="S237" i="5"/>
  <c r="R237" i="5"/>
  <c r="Q237" i="5"/>
  <c r="O237" i="5"/>
  <c r="M237" i="5"/>
  <c r="L237" i="5"/>
  <c r="J237" i="5"/>
  <c r="I237" i="5"/>
  <c r="H237" i="5"/>
  <c r="G237" i="5"/>
  <c r="F237" i="5"/>
  <c r="E237" i="5"/>
  <c r="E236" i="5"/>
  <c r="S236" i="5"/>
  <c r="M233" i="76"/>
  <c r="K233" i="76"/>
  <c r="J233" i="76"/>
  <c r="H233" i="76"/>
  <c r="I233" i="76"/>
  <c r="G233" i="76"/>
  <c r="E233" i="76"/>
  <c r="F233" i="76"/>
  <c r="D233" i="76"/>
  <c r="AI223" i="5"/>
  <c r="AM223" i="5" s="1"/>
  <c r="AI224" i="5"/>
  <c r="AM224" i="5" s="1"/>
  <c r="AI228" i="5"/>
  <c r="AM228" i="5" s="1"/>
  <c r="AI229" i="5"/>
  <c r="AI231" i="5"/>
  <c r="AM231" i="5" s="1"/>
  <c r="AI235" i="5"/>
  <c r="AI211" i="5"/>
  <c r="AC236" i="5"/>
  <c r="AB236" i="5"/>
  <c r="AA236" i="5"/>
  <c r="Y236" i="5"/>
  <c r="X236" i="5"/>
  <c r="W236" i="5"/>
  <c r="U236" i="5"/>
  <c r="T236" i="5"/>
  <c r="R236" i="5"/>
  <c r="Q236" i="5"/>
  <c r="O236" i="5"/>
  <c r="M236" i="5"/>
  <c r="L236" i="5"/>
  <c r="J236" i="5"/>
  <c r="I236" i="5"/>
  <c r="H236" i="5"/>
  <c r="G236" i="5"/>
  <c r="F236" i="5"/>
  <c r="AJ17" i="76"/>
  <c r="AJ18" i="76"/>
  <c r="AJ19" i="76"/>
  <c r="AJ20" i="76"/>
  <c r="AJ21" i="76"/>
  <c r="AJ22" i="76"/>
  <c r="AJ23" i="76"/>
  <c r="AJ24" i="76"/>
  <c r="AJ25" i="76"/>
  <c r="AJ26" i="76"/>
  <c r="AJ27" i="76"/>
  <c r="AJ28" i="76"/>
  <c r="AJ29" i="76"/>
  <c r="AJ30" i="76"/>
  <c r="AJ31" i="76"/>
  <c r="Q53" i="76"/>
  <c r="Q55" i="76" s="1"/>
  <c r="Q54" i="76"/>
  <c r="Q56" i="76"/>
  <c r="Q65" i="76"/>
  <c r="Q66" i="76" s="1"/>
  <c r="N160" i="76"/>
  <c r="N161" i="76"/>
  <c r="N162" i="76"/>
  <c r="O162" i="76"/>
  <c r="O163" i="76" s="1"/>
  <c r="O164" i="76" s="1"/>
  <c r="O165" i="76" s="1"/>
  <c r="O166" i="76" s="1"/>
  <c r="O167" i="76" s="1"/>
  <c r="O168" i="76" s="1"/>
  <c r="O169" i="76" s="1"/>
  <c r="O170" i="76" s="1"/>
  <c r="O171" i="76" s="1"/>
  <c r="O172" i="76" s="1"/>
  <c r="N163" i="76"/>
  <c r="N164" i="76"/>
  <c r="D165" i="76"/>
  <c r="G165" i="76"/>
  <c r="I165" i="76"/>
  <c r="H165" i="76"/>
  <c r="J165" i="76"/>
  <c r="M165" i="76"/>
  <c r="D166" i="76"/>
  <c r="F166" i="76"/>
  <c r="G166" i="76"/>
  <c r="I166" i="76"/>
  <c r="H166" i="76"/>
  <c r="J166" i="76"/>
  <c r="M166" i="76"/>
  <c r="D167" i="76"/>
  <c r="F167" i="76"/>
  <c r="G167" i="76"/>
  <c r="I167" i="76"/>
  <c r="H167" i="76"/>
  <c r="J167" i="76"/>
  <c r="M167" i="76"/>
  <c r="D168" i="76"/>
  <c r="F168" i="76"/>
  <c r="G168" i="76"/>
  <c r="I168" i="76"/>
  <c r="H168" i="76"/>
  <c r="J168" i="76"/>
  <c r="M168" i="76"/>
  <c r="D169" i="76"/>
  <c r="F169" i="76"/>
  <c r="G169" i="76"/>
  <c r="I169" i="76"/>
  <c r="H169" i="76"/>
  <c r="J169" i="76"/>
  <c r="M169" i="76"/>
  <c r="D170" i="76"/>
  <c r="F170" i="76"/>
  <c r="G170" i="76"/>
  <c r="I170" i="76"/>
  <c r="H170" i="76"/>
  <c r="J170" i="76"/>
  <c r="M170" i="76"/>
  <c r="D171" i="76"/>
  <c r="F171" i="76"/>
  <c r="G171" i="76"/>
  <c r="I171" i="76"/>
  <c r="H171" i="76"/>
  <c r="J171" i="76"/>
  <c r="M171" i="76"/>
  <c r="D172" i="76"/>
  <c r="F172" i="76"/>
  <c r="G172" i="76"/>
  <c r="I172" i="76"/>
  <c r="H172" i="76"/>
  <c r="J172" i="76"/>
  <c r="M172" i="76"/>
  <c r="D173" i="76"/>
  <c r="F173" i="76"/>
  <c r="G173" i="76"/>
  <c r="I173" i="76"/>
  <c r="H173" i="76"/>
  <c r="J173" i="76"/>
  <c r="M173" i="76"/>
  <c r="D174" i="76"/>
  <c r="F174" i="76"/>
  <c r="G174" i="76"/>
  <c r="I174" i="76"/>
  <c r="H174" i="76"/>
  <c r="J174" i="76"/>
  <c r="M174" i="76"/>
  <c r="O174" i="76"/>
  <c r="O175" i="76" s="1"/>
  <c r="O176" i="76" s="1"/>
  <c r="O177" i="76" s="1"/>
  <c r="O178" i="76" s="1"/>
  <c r="O179" i="76" s="1"/>
  <c r="O180" i="76" s="1"/>
  <c r="O181" i="76" s="1"/>
  <c r="O182" i="76" s="1"/>
  <c r="O183" i="76" s="1"/>
  <c r="O184" i="76" s="1"/>
  <c r="D175" i="76"/>
  <c r="F175" i="76"/>
  <c r="G175" i="76"/>
  <c r="I175" i="76"/>
  <c r="H175" i="76"/>
  <c r="J175" i="76"/>
  <c r="M175" i="76"/>
  <c r="D176" i="76"/>
  <c r="F176" i="76"/>
  <c r="G176" i="76"/>
  <c r="I176" i="76"/>
  <c r="H176" i="76"/>
  <c r="J176" i="76"/>
  <c r="M176" i="76"/>
  <c r="D177" i="76"/>
  <c r="F177" i="76"/>
  <c r="G177" i="76"/>
  <c r="I177" i="76"/>
  <c r="H177" i="76"/>
  <c r="J177" i="76"/>
  <c r="M177" i="76"/>
  <c r="D178" i="76"/>
  <c r="F178" i="76"/>
  <c r="G178" i="76"/>
  <c r="I178" i="76"/>
  <c r="H178" i="76"/>
  <c r="J178" i="76"/>
  <c r="M178" i="76"/>
  <c r="D179" i="76"/>
  <c r="F179" i="76"/>
  <c r="G179" i="76"/>
  <c r="I179" i="76"/>
  <c r="H179" i="76"/>
  <c r="J179" i="76"/>
  <c r="M179" i="76"/>
  <c r="D180" i="76"/>
  <c r="F180" i="76"/>
  <c r="G180" i="76"/>
  <c r="I180" i="76"/>
  <c r="H180" i="76"/>
  <c r="J180" i="76"/>
  <c r="M180" i="76"/>
  <c r="D181" i="76"/>
  <c r="F181" i="76"/>
  <c r="G181" i="76"/>
  <c r="I181" i="76"/>
  <c r="H181" i="76"/>
  <c r="J181" i="76"/>
  <c r="M181" i="76"/>
  <c r="D182" i="76"/>
  <c r="F182" i="76"/>
  <c r="G182" i="76"/>
  <c r="I182" i="76"/>
  <c r="H182" i="76"/>
  <c r="J182" i="76"/>
  <c r="M182" i="76"/>
  <c r="D183" i="76"/>
  <c r="F183" i="76"/>
  <c r="G183" i="76"/>
  <c r="I183" i="76"/>
  <c r="H183" i="76"/>
  <c r="J183" i="76"/>
  <c r="M183" i="76"/>
  <c r="D184" i="76"/>
  <c r="F184" i="76"/>
  <c r="G184" i="76"/>
  <c r="I184" i="76"/>
  <c r="H184" i="76"/>
  <c r="J184" i="76"/>
  <c r="M184" i="76"/>
  <c r="D185" i="76"/>
  <c r="F185" i="76"/>
  <c r="G185" i="76"/>
  <c r="I185" i="76"/>
  <c r="H185" i="76"/>
  <c r="J185" i="76"/>
  <c r="M185" i="76"/>
  <c r="D186" i="76"/>
  <c r="G186" i="76"/>
  <c r="I186" i="76"/>
  <c r="H186" i="76"/>
  <c r="J186" i="76"/>
  <c r="M186" i="76"/>
  <c r="O186" i="76"/>
  <c r="O187" i="76" s="1"/>
  <c r="O188" i="76" s="1"/>
  <c r="O189" i="76" s="1"/>
  <c r="O190" i="76" s="1"/>
  <c r="O191" i="76" s="1"/>
  <c r="O192" i="76" s="1"/>
  <c r="O193" i="76" s="1"/>
  <c r="O194" i="76" s="1"/>
  <c r="O195" i="76" s="1"/>
  <c r="O196" i="76" s="1"/>
  <c r="D187" i="76"/>
  <c r="G187" i="76"/>
  <c r="I187" i="76"/>
  <c r="H187" i="76"/>
  <c r="J187" i="76"/>
  <c r="M187" i="76"/>
  <c r="D188" i="76"/>
  <c r="F188" i="76"/>
  <c r="G188" i="76"/>
  <c r="I188" i="76"/>
  <c r="J188" i="76"/>
  <c r="M188" i="76"/>
  <c r="D189" i="76"/>
  <c r="F189" i="76"/>
  <c r="G189" i="76"/>
  <c r="I189" i="76"/>
  <c r="H189" i="76"/>
  <c r="J189" i="76"/>
  <c r="M189" i="76"/>
  <c r="D190" i="76"/>
  <c r="F190" i="76"/>
  <c r="G190" i="76"/>
  <c r="I190" i="76"/>
  <c r="H190" i="76"/>
  <c r="J190" i="76"/>
  <c r="M190" i="76"/>
  <c r="D191" i="76"/>
  <c r="F191" i="76"/>
  <c r="G191" i="76"/>
  <c r="I191" i="76"/>
  <c r="H191" i="76"/>
  <c r="J191" i="76"/>
  <c r="M191" i="76"/>
  <c r="D192" i="76"/>
  <c r="F192" i="76"/>
  <c r="G192" i="76"/>
  <c r="I192" i="76"/>
  <c r="H192" i="76"/>
  <c r="J192" i="76"/>
  <c r="M192" i="76"/>
  <c r="D193" i="76"/>
  <c r="F193" i="76"/>
  <c r="G193" i="76"/>
  <c r="I193" i="76"/>
  <c r="H193" i="76"/>
  <c r="J193" i="76"/>
  <c r="M193" i="76"/>
  <c r="D194" i="76"/>
  <c r="F194" i="76"/>
  <c r="G194" i="76"/>
  <c r="I194" i="76"/>
  <c r="H194" i="76"/>
  <c r="J194" i="76"/>
  <c r="M194" i="76"/>
  <c r="D195" i="76"/>
  <c r="F195" i="76"/>
  <c r="G195" i="76"/>
  <c r="I195" i="76"/>
  <c r="H195" i="76"/>
  <c r="J195" i="76"/>
  <c r="M195" i="76"/>
  <c r="D196" i="76"/>
  <c r="F196" i="76"/>
  <c r="G196" i="76"/>
  <c r="I196" i="76"/>
  <c r="H196" i="76"/>
  <c r="J196" i="76"/>
  <c r="M196" i="76"/>
  <c r="D197" i="76"/>
  <c r="F197" i="76"/>
  <c r="G197" i="76"/>
  <c r="I197" i="76"/>
  <c r="H197" i="76"/>
  <c r="J197" i="76"/>
  <c r="K197" i="76"/>
  <c r="M197" i="76"/>
  <c r="D198" i="76"/>
  <c r="F198" i="76"/>
  <c r="G198" i="76"/>
  <c r="I198" i="76"/>
  <c r="J198" i="76"/>
  <c r="K198" i="76"/>
  <c r="M198" i="76"/>
  <c r="O198" i="76"/>
  <c r="O199" i="76" s="1"/>
  <c r="O200" i="76" s="1"/>
  <c r="O201" i="76" s="1"/>
  <c r="O202" i="76" s="1"/>
  <c r="O203" i="76" s="1"/>
  <c r="O204" i="76" s="1"/>
  <c r="O205" i="76" s="1"/>
  <c r="O206" i="76" s="1"/>
  <c r="O207" i="76" s="1"/>
  <c r="O208" i="76" s="1"/>
  <c r="D199" i="76"/>
  <c r="F199" i="76"/>
  <c r="G199" i="76"/>
  <c r="I199" i="76"/>
  <c r="J199" i="76"/>
  <c r="K199" i="76"/>
  <c r="M199" i="76"/>
  <c r="D200" i="76"/>
  <c r="F200" i="76"/>
  <c r="G200" i="76"/>
  <c r="I200" i="76"/>
  <c r="H200" i="76"/>
  <c r="J200" i="76"/>
  <c r="K200" i="76"/>
  <c r="M200" i="76"/>
  <c r="D201" i="76"/>
  <c r="F201" i="76"/>
  <c r="G201" i="76"/>
  <c r="I201" i="76"/>
  <c r="H201" i="76"/>
  <c r="J201" i="76"/>
  <c r="K201" i="76"/>
  <c r="M201" i="76"/>
  <c r="D202" i="76"/>
  <c r="F202" i="76"/>
  <c r="G202" i="76"/>
  <c r="I202" i="76"/>
  <c r="H202" i="76"/>
  <c r="J202" i="76"/>
  <c r="K202" i="76"/>
  <c r="M202" i="76"/>
  <c r="D203" i="76"/>
  <c r="F203" i="76"/>
  <c r="E203" i="76"/>
  <c r="G203" i="76"/>
  <c r="I203" i="76"/>
  <c r="H203" i="76"/>
  <c r="J203" i="76"/>
  <c r="K203" i="76"/>
  <c r="M203" i="76"/>
  <c r="D204" i="76"/>
  <c r="F204" i="76"/>
  <c r="E204" i="76"/>
  <c r="G204" i="76"/>
  <c r="I204" i="76"/>
  <c r="H204" i="76"/>
  <c r="J204" i="76"/>
  <c r="K204" i="76"/>
  <c r="M204" i="76"/>
  <c r="D205" i="76"/>
  <c r="F205" i="76"/>
  <c r="E205" i="76"/>
  <c r="G205" i="76"/>
  <c r="I205" i="76"/>
  <c r="H205" i="76"/>
  <c r="J205" i="76"/>
  <c r="K205" i="76"/>
  <c r="M205" i="76"/>
  <c r="D206" i="76"/>
  <c r="F206" i="76"/>
  <c r="E206" i="76"/>
  <c r="G206" i="76"/>
  <c r="I206" i="76"/>
  <c r="H206" i="76"/>
  <c r="J206" i="76"/>
  <c r="K206" i="76"/>
  <c r="M206" i="76"/>
  <c r="D207" i="76"/>
  <c r="F207" i="76"/>
  <c r="E207" i="76"/>
  <c r="G207" i="76"/>
  <c r="I207" i="76"/>
  <c r="H207" i="76"/>
  <c r="J207" i="76"/>
  <c r="K207" i="76"/>
  <c r="M207" i="76"/>
  <c r="J208" i="76"/>
  <c r="K208" i="76"/>
  <c r="N209" i="76"/>
  <c r="D210" i="76"/>
  <c r="F210" i="76"/>
  <c r="E210" i="76"/>
  <c r="G210" i="76"/>
  <c r="I210" i="76"/>
  <c r="H210" i="76"/>
  <c r="J210" i="76"/>
  <c r="K210" i="76"/>
  <c r="M210" i="76"/>
  <c r="O210" i="76"/>
  <c r="O211" i="76" s="1"/>
  <c r="O212" i="76" s="1"/>
  <c r="O213" i="76" s="1"/>
  <c r="O214" i="76" s="1"/>
  <c r="O215" i="76" s="1"/>
  <c r="O216" i="76" s="1"/>
  <c r="O217" i="76" s="1"/>
  <c r="O218" i="76" s="1"/>
  <c r="O219" i="76" s="1"/>
  <c r="O220" i="76" s="1"/>
  <c r="D211" i="76"/>
  <c r="F211" i="76"/>
  <c r="E211" i="76"/>
  <c r="G211" i="76"/>
  <c r="I211" i="76"/>
  <c r="H211" i="76"/>
  <c r="J211" i="76"/>
  <c r="K211" i="76"/>
  <c r="M211" i="76"/>
  <c r="D212" i="76"/>
  <c r="F212" i="76"/>
  <c r="E212" i="76"/>
  <c r="G212" i="76"/>
  <c r="I212" i="76"/>
  <c r="H212" i="76"/>
  <c r="J212" i="76"/>
  <c r="K212" i="76"/>
  <c r="M212" i="76"/>
  <c r="N213" i="76"/>
  <c r="D214" i="76"/>
  <c r="F214" i="76"/>
  <c r="E214" i="76"/>
  <c r="G214" i="76"/>
  <c r="I214" i="76"/>
  <c r="H214" i="76"/>
  <c r="J214" i="76"/>
  <c r="K214" i="76"/>
  <c r="M214" i="76"/>
  <c r="D215" i="76"/>
  <c r="F215" i="76"/>
  <c r="E215" i="76"/>
  <c r="G215" i="76"/>
  <c r="I215" i="76"/>
  <c r="H215" i="76"/>
  <c r="J215" i="76"/>
  <c r="K215" i="76"/>
  <c r="M215" i="76"/>
  <c r="D216" i="76"/>
  <c r="F216" i="76"/>
  <c r="G216" i="76"/>
  <c r="I216" i="76"/>
  <c r="J216" i="76"/>
  <c r="K216" i="76"/>
  <c r="M216" i="76"/>
  <c r="D217" i="76"/>
  <c r="F217" i="76"/>
  <c r="G217" i="76"/>
  <c r="I217" i="76"/>
  <c r="J217" i="76"/>
  <c r="K217" i="76"/>
  <c r="M217" i="76"/>
  <c r="D218" i="76"/>
  <c r="F218" i="76"/>
  <c r="G218" i="76"/>
  <c r="I218" i="76"/>
  <c r="J218" i="76"/>
  <c r="K218" i="76"/>
  <c r="M218" i="76"/>
  <c r="D219" i="76"/>
  <c r="F219" i="76"/>
  <c r="G219" i="76"/>
  <c r="I219" i="76"/>
  <c r="J219" i="76"/>
  <c r="K219" i="76"/>
  <c r="M219" i="76"/>
  <c r="N220" i="76"/>
  <c r="Q220" i="76" s="1"/>
  <c r="N221" i="76"/>
  <c r="Q221" i="76" s="1"/>
  <c r="D222" i="76"/>
  <c r="F222" i="76"/>
  <c r="G222" i="76"/>
  <c r="I222" i="76"/>
  <c r="H222" i="76"/>
  <c r="J222" i="76"/>
  <c r="K222" i="76"/>
  <c r="M222" i="76"/>
  <c r="O222" i="76"/>
  <c r="O223" i="76" s="1"/>
  <c r="O224" i="76" s="1"/>
  <c r="O225" i="76" s="1"/>
  <c r="O226" i="76" s="1"/>
  <c r="O227" i="76" s="1"/>
  <c r="O228" i="76" s="1"/>
  <c r="O229" i="76" s="1"/>
  <c r="O230" i="76" s="1"/>
  <c r="O231" i="76" s="1"/>
  <c r="O232" i="76" s="1"/>
  <c r="D223" i="76"/>
  <c r="F223" i="76"/>
  <c r="E223" i="76"/>
  <c r="G223" i="76"/>
  <c r="I223" i="76"/>
  <c r="H223" i="76"/>
  <c r="J223" i="76"/>
  <c r="K223" i="76"/>
  <c r="M223" i="76"/>
  <c r="I224" i="76"/>
  <c r="H224" i="76"/>
  <c r="J224" i="76"/>
  <c r="K224" i="76"/>
  <c r="M224" i="76"/>
  <c r="N225" i="76"/>
  <c r="Q225" i="76" s="1"/>
  <c r="N226" i="76"/>
  <c r="N227" i="76"/>
  <c r="Q227" i="76" s="1"/>
  <c r="N228" i="76"/>
  <c r="Q228" i="76" s="1"/>
  <c r="N229" i="76"/>
  <c r="Q229" i="76" s="1"/>
  <c r="D230" i="76"/>
  <c r="F230" i="76"/>
  <c r="E230" i="76"/>
  <c r="G230" i="76"/>
  <c r="I230" i="76"/>
  <c r="H230" i="76"/>
  <c r="J230" i="76"/>
  <c r="K230" i="76"/>
  <c r="M230" i="76"/>
  <c r="N231" i="76"/>
  <c r="N232" i="76"/>
  <c r="K5" i="5"/>
  <c r="E8" i="5"/>
  <c r="F8" i="5"/>
  <c r="G8" i="5"/>
  <c r="H8" i="5"/>
  <c r="I8" i="5"/>
  <c r="J8" i="5"/>
  <c r="K8" i="5"/>
  <c r="L8" i="5"/>
  <c r="M8" i="5"/>
  <c r="N8" i="5"/>
  <c r="S8" i="5"/>
  <c r="U8" i="5"/>
  <c r="W8" i="5"/>
  <c r="AA8" i="5"/>
  <c r="E9" i="5"/>
  <c r="F9" i="5"/>
  <c r="G9" i="5"/>
  <c r="H9" i="5"/>
  <c r="I9" i="5"/>
  <c r="J9" i="5"/>
  <c r="K9" i="5"/>
  <c r="L9" i="5"/>
  <c r="M9" i="5"/>
  <c r="N9" i="5"/>
  <c r="S9" i="5"/>
  <c r="U9" i="5"/>
  <c r="W9" i="5"/>
  <c r="AA9" i="5"/>
  <c r="E10" i="5"/>
  <c r="F10" i="5"/>
  <c r="G10" i="5"/>
  <c r="H10" i="5"/>
  <c r="I10" i="5"/>
  <c r="J10" i="5"/>
  <c r="K10" i="5"/>
  <c r="L10" i="5"/>
  <c r="M10" i="5"/>
  <c r="N10" i="5"/>
  <c r="S10" i="5"/>
  <c r="U10" i="5"/>
  <c r="W10" i="5"/>
  <c r="AA10" i="5"/>
  <c r="E11" i="5"/>
  <c r="F11" i="5"/>
  <c r="G11" i="5"/>
  <c r="H11" i="5"/>
  <c r="I11" i="5"/>
  <c r="J11" i="5"/>
  <c r="K11" i="5"/>
  <c r="L11" i="5"/>
  <c r="M11" i="5"/>
  <c r="N11" i="5"/>
  <c r="S11" i="5"/>
  <c r="U11" i="5"/>
  <c r="W11" i="5"/>
  <c r="AA11" i="5"/>
  <c r="E12" i="5"/>
  <c r="F12" i="5"/>
  <c r="G12" i="5"/>
  <c r="H12" i="5"/>
  <c r="I12" i="5"/>
  <c r="J12" i="5"/>
  <c r="K12" i="5"/>
  <c r="L12" i="5"/>
  <c r="M12" i="5"/>
  <c r="N12" i="5"/>
  <c r="S12" i="5"/>
  <c r="U12" i="5"/>
  <c r="W12" i="5"/>
  <c r="AA12" i="5"/>
  <c r="E13" i="5"/>
  <c r="F13" i="5"/>
  <c r="G13" i="5"/>
  <c r="H13" i="5"/>
  <c r="I13" i="5"/>
  <c r="J13" i="5"/>
  <c r="K13" i="5"/>
  <c r="L13" i="5"/>
  <c r="M13" i="5"/>
  <c r="N13" i="5"/>
  <c r="S13" i="5"/>
  <c r="U13" i="5"/>
  <c r="W13" i="5"/>
  <c r="AA13" i="5"/>
  <c r="E14" i="5"/>
  <c r="F14" i="5"/>
  <c r="G14" i="5"/>
  <c r="H14" i="5"/>
  <c r="I14" i="5"/>
  <c r="J14" i="5"/>
  <c r="K14" i="5"/>
  <c r="L14" i="5"/>
  <c r="M14" i="5"/>
  <c r="N14" i="5"/>
  <c r="S14" i="5"/>
  <c r="U14" i="5"/>
  <c r="W14" i="5"/>
  <c r="AA14" i="5"/>
  <c r="E15" i="5"/>
  <c r="F15" i="5"/>
  <c r="G15" i="5"/>
  <c r="H15" i="5"/>
  <c r="I15" i="5"/>
  <c r="J15" i="5"/>
  <c r="K15" i="5"/>
  <c r="L15" i="5"/>
  <c r="M15" i="5"/>
  <c r="N15" i="5"/>
  <c r="S15" i="5"/>
  <c r="U15" i="5"/>
  <c r="W15" i="5"/>
  <c r="AA15" i="5"/>
  <c r="E16" i="5"/>
  <c r="F16" i="5"/>
  <c r="G16" i="5"/>
  <c r="H16" i="5"/>
  <c r="I16" i="5"/>
  <c r="J16" i="5"/>
  <c r="K16" i="5"/>
  <c r="L16" i="5"/>
  <c r="M16" i="5"/>
  <c r="N16" i="5"/>
  <c r="S16" i="5"/>
  <c r="U16" i="5"/>
  <c r="W16" i="5"/>
  <c r="AA16" i="5"/>
  <c r="E17" i="5"/>
  <c r="F17" i="5"/>
  <c r="G17" i="5"/>
  <c r="H17" i="5"/>
  <c r="I17" i="5"/>
  <c r="J17" i="5"/>
  <c r="K17" i="5"/>
  <c r="L17" i="5"/>
  <c r="M17" i="5"/>
  <c r="N17" i="5"/>
  <c r="S17" i="5"/>
  <c r="W17" i="5"/>
  <c r="AA17" i="5"/>
  <c r="E18" i="5"/>
  <c r="F18" i="5"/>
  <c r="G18" i="5"/>
  <c r="H18" i="5"/>
  <c r="I18" i="5"/>
  <c r="J18" i="5"/>
  <c r="K18" i="5"/>
  <c r="L18" i="5"/>
  <c r="M18" i="5"/>
  <c r="N18" i="5"/>
  <c r="S18" i="5"/>
  <c r="U18" i="5"/>
  <c r="W18" i="5"/>
  <c r="AA18" i="5"/>
  <c r="E19" i="5"/>
  <c r="F19" i="5"/>
  <c r="G19" i="5"/>
  <c r="H19" i="5"/>
  <c r="I19" i="5"/>
  <c r="J19" i="5"/>
  <c r="K19" i="5"/>
  <c r="L19" i="5"/>
  <c r="M19" i="5"/>
  <c r="N19" i="5"/>
  <c r="S19" i="5"/>
  <c r="U19" i="5"/>
  <c r="W19" i="5"/>
  <c r="AA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M39" i="5"/>
  <c r="AI39" i="5" s="1"/>
  <c r="M40" i="5"/>
  <c r="AI40" i="5" s="1"/>
  <c r="M41" i="5"/>
  <c r="AI41" i="5" s="1"/>
  <c r="AI42" i="5"/>
  <c r="AI43" i="5"/>
  <c r="AA48" i="5"/>
  <c r="AA49" i="5"/>
  <c r="AA50" i="5"/>
  <c r="AA52" i="5"/>
  <c r="AA53" i="5"/>
  <c r="AA54" i="5"/>
  <c r="AI54" i="5" s="1"/>
  <c r="AA55" i="5"/>
  <c r="AI55" i="5" s="1"/>
  <c r="AA56" i="5"/>
  <c r="AA57" i="5"/>
  <c r="AJ57" i="5"/>
  <c r="AJ58" i="5" s="1"/>
  <c r="AJ59" i="5" s="1"/>
  <c r="AJ60" i="5" s="1"/>
  <c r="AJ61" i="5" s="1"/>
  <c r="AJ62" i="5" s="1"/>
  <c r="AJ63" i="5" s="1"/>
  <c r="AJ64" i="5" s="1"/>
  <c r="AJ65" i="5" s="1"/>
  <c r="AJ66" i="5" s="1"/>
  <c r="AJ67" i="5" s="1"/>
  <c r="AA58" i="5"/>
  <c r="AI58" i="5" s="1"/>
  <c r="AA59" i="5"/>
  <c r="AA60" i="5"/>
  <c r="AC60" i="5"/>
  <c r="AA61" i="5"/>
  <c r="AI61" i="5" s="1"/>
  <c r="AA62" i="5"/>
  <c r="AI62" i="5" s="1"/>
  <c r="AA63" i="5"/>
  <c r="AI63" i="5" s="1"/>
  <c r="AA64" i="5"/>
  <c r="AA65" i="5"/>
  <c r="AA66" i="5"/>
  <c r="AI66" i="5" s="1"/>
  <c r="AA67" i="5"/>
  <c r="AI67" i="5" s="1"/>
  <c r="AA68" i="5"/>
  <c r="AI68" i="5" s="1"/>
  <c r="AA69" i="5"/>
  <c r="AI69" i="5" s="1"/>
  <c r="AJ69" i="5"/>
  <c r="AJ70" i="5" s="1"/>
  <c r="AJ71" i="5" s="1"/>
  <c r="AJ72" i="5" s="1"/>
  <c r="AJ73" i="5" s="1"/>
  <c r="AJ74" i="5" s="1"/>
  <c r="AJ75" i="5" s="1"/>
  <c r="AJ76" i="5" s="1"/>
  <c r="AJ77" i="5" s="1"/>
  <c r="AJ78" i="5" s="1"/>
  <c r="AJ79" i="5" s="1"/>
  <c r="AA70" i="5"/>
  <c r="AC70" i="5"/>
  <c r="AA71" i="5"/>
  <c r="AC71" i="5"/>
  <c r="AA72" i="5"/>
  <c r="AC72" i="5"/>
  <c r="AA73" i="5"/>
  <c r="AC73" i="5"/>
  <c r="AA74" i="5"/>
  <c r="AC74" i="5"/>
  <c r="AA75" i="5"/>
  <c r="AI75" i="5" s="1"/>
  <c r="AA76" i="5"/>
  <c r="AC76" i="5"/>
  <c r="AA77" i="5"/>
  <c r="AC77" i="5"/>
  <c r="AA78" i="5"/>
  <c r="AI78" i="5" s="1"/>
  <c r="AC78" i="5"/>
  <c r="AA79" i="5"/>
  <c r="AC79" i="5"/>
  <c r="AI81" i="5"/>
  <c r="AJ81" i="5"/>
  <c r="AJ82" i="5" s="1"/>
  <c r="AJ83" i="5" s="1"/>
  <c r="AJ84" i="5" s="1"/>
  <c r="AJ85" i="5" s="1"/>
  <c r="AJ86" i="5" s="1"/>
  <c r="AJ87" i="5" s="1"/>
  <c r="AJ88" i="5" s="1"/>
  <c r="AJ89" i="5" s="1"/>
  <c r="AJ90" i="5" s="1"/>
  <c r="AI84" i="5"/>
  <c r="AI85" i="5"/>
  <c r="AI87" i="5"/>
  <c r="AI88" i="5"/>
  <c r="AI89" i="5"/>
  <c r="AI90" i="5"/>
  <c r="AI91" i="5"/>
  <c r="AI93" i="5"/>
  <c r="AJ93" i="5"/>
  <c r="AJ94" i="5" s="1"/>
  <c r="AJ95" i="5" s="1"/>
  <c r="AJ96" i="5" s="1"/>
  <c r="AJ97" i="5" s="1"/>
  <c r="AJ98" i="5" s="1"/>
  <c r="AJ99" i="5" s="1"/>
  <c r="AJ100" i="5" s="1"/>
  <c r="AJ101" i="5" s="1"/>
  <c r="AJ102" i="5" s="1"/>
  <c r="AJ103" i="5" s="1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J105" i="5"/>
  <c r="AJ106" i="5" s="1"/>
  <c r="AJ107" i="5" s="1"/>
  <c r="AJ108" i="5" s="1"/>
  <c r="AJ109" i="5" s="1"/>
  <c r="AJ110" i="5" s="1"/>
  <c r="AJ111" i="5" s="1"/>
  <c r="AJ112" i="5" s="1"/>
  <c r="AJ113" i="5" s="1"/>
  <c r="AJ114" i="5" s="1"/>
  <c r="AJ115" i="5" s="1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J117" i="5"/>
  <c r="AJ118" i="5" s="1"/>
  <c r="AJ119" i="5" s="1"/>
  <c r="AJ120" i="5" s="1"/>
  <c r="AJ121" i="5" s="1"/>
  <c r="AJ122" i="5" s="1"/>
  <c r="AJ123" i="5" s="1"/>
  <c r="AJ124" i="5" s="1"/>
  <c r="AJ125" i="5" s="1"/>
  <c r="AJ126" i="5" s="1"/>
  <c r="AJ127" i="5" s="1"/>
  <c r="AI118" i="5"/>
  <c r="AI119" i="5"/>
  <c r="AI120" i="5"/>
  <c r="AA121" i="5"/>
  <c r="AI121" i="5" s="1"/>
  <c r="AA122" i="5"/>
  <c r="AI122" i="5" s="1"/>
  <c r="AI123" i="5"/>
  <c r="AA124" i="5"/>
  <c r="AI124" i="5" s="1"/>
  <c r="AA125" i="5"/>
  <c r="AI125" i="5" s="1"/>
  <c r="AA126" i="5"/>
  <c r="AI126" i="5" s="1"/>
  <c r="AA127" i="5"/>
  <c r="AI127" i="5" s="1"/>
  <c r="AA128" i="5"/>
  <c r="AI128" i="5" s="1"/>
  <c r="AI129" i="5"/>
  <c r="AA130" i="5"/>
  <c r="AI132" i="5"/>
  <c r="AI133" i="5"/>
  <c r="AI134" i="5"/>
  <c r="AI135" i="5"/>
  <c r="AI143" i="5"/>
  <c r="AI144" i="5"/>
  <c r="AI145" i="5"/>
  <c r="AI146" i="5"/>
  <c r="AI147" i="5"/>
  <c r="AI148" i="5"/>
  <c r="AI149" i="5"/>
  <c r="AI150" i="5"/>
  <c r="AM160" i="5" s="1"/>
  <c r="AI151" i="5"/>
  <c r="AI152" i="5"/>
  <c r="AI153" i="5"/>
  <c r="AJ153" i="5"/>
  <c r="AJ154" i="5" s="1"/>
  <c r="AJ155" i="5" s="1"/>
  <c r="AJ156" i="5" s="1"/>
  <c r="AJ157" i="5" s="1"/>
  <c r="AJ158" i="5" s="1"/>
  <c r="AJ159" i="5" s="1"/>
  <c r="AJ160" i="5" s="1"/>
  <c r="AJ161" i="5" s="1"/>
  <c r="AJ162" i="5" s="1"/>
  <c r="AJ163" i="5" s="1"/>
  <c r="AI154" i="5"/>
  <c r="AI155" i="5"/>
  <c r="AI156" i="5"/>
  <c r="AI157" i="5"/>
  <c r="AI158" i="5"/>
  <c r="H159" i="5"/>
  <c r="J159" i="5"/>
  <c r="M159" i="5"/>
  <c r="S159" i="5"/>
  <c r="U159" i="5"/>
  <c r="W159" i="5"/>
  <c r="X159" i="5"/>
  <c r="AC159" i="5"/>
  <c r="AI160" i="5"/>
  <c r="AI161" i="5"/>
  <c r="AI162" i="5"/>
  <c r="AI163" i="5"/>
  <c r="AI164" i="5"/>
  <c r="H165" i="5"/>
  <c r="J165" i="5"/>
  <c r="M165" i="5"/>
  <c r="S165" i="5"/>
  <c r="AJ165" i="5"/>
  <c r="AJ166" i="5" s="1"/>
  <c r="AJ167" i="5" s="1"/>
  <c r="AJ168" i="5" s="1"/>
  <c r="AJ169" i="5" s="1"/>
  <c r="AJ170" i="5" s="1"/>
  <c r="AJ171" i="5" s="1"/>
  <c r="AJ172" i="5" s="1"/>
  <c r="AJ173" i="5" s="1"/>
  <c r="AJ174" i="5" s="1"/>
  <c r="AJ175" i="5" s="1"/>
  <c r="U166" i="5"/>
  <c r="W166" i="5"/>
  <c r="X166" i="5"/>
  <c r="AC166" i="5"/>
  <c r="H167" i="5"/>
  <c r="J167" i="5"/>
  <c r="M167" i="5"/>
  <c r="R167" i="5"/>
  <c r="S167" i="5"/>
  <c r="U167" i="5"/>
  <c r="W167" i="5"/>
  <c r="E168" i="5"/>
  <c r="F168" i="5"/>
  <c r="G168" i="5"/>
  <c r="H168" i="5"/>
  <c r="I168" i="5"/>
  <c r="J168" i="5"/>
  <c r="L168" i="5"/>
  <c r="M168" i="5"/>
  <c r="Q168" i="5"/>
  <c r="R168" i="5"/>
  <c r="S168" i="5"/>
  <c r="U168" i="5"/>
  <c r="W168" i="5"/>
  <c r="X168" i="5"/>
  <c r="AC168" i="5"/>
  <c r="E169" i="5"/>
  <c r="F169" i="5"/>
  <c r="G169" i="5"/>
  <c r="H169" i="5"/>
  <c r="J169" i="5"/>
  <c r="M169" i="5"/>
  <c r="S169" i="5"/>
  <c r="U169" i="5"/>
  <c r="W169" i="5"/>
  <c r="X169" i="5"/>
  <c r="AC169" i="5"/>
  <c r="E170" i="5"/>
  <c r="H170" i="5"/>
  <c r="J170" i="5"/>
  <c r="M170" i="5"/>
  <c r="S170" i="5"/>
  <c r="U170" i="5"/>
  <c r="W170" i="5"/>
  <c r="X170" i="5"/>
  <c r="AC170" i="5"/>
  <c r="E171" i="5"/>
  <c r="H171" i="5"/>
  <c r="J171" i="5"/>
  <c r="M171" i="5"/>
  <c r="S171" i="5"/>
  <c r="U171" i="5"/>
  <c r="W171" i="5"/>
  <c r="X171" i="5"/>
  <c r="AC171" i="5"/>
  <c r="E172" i="5"/>
  <c r="F172" i="5"/>
  <c r="G172" i="5"/>
  <c r="H172" i="5"/>
  <c r="I172" i="5"/>
  <c r="J172" i="5"/>
  <c r="L172" i="5"/>
  <c r="M172" i="5"/>
  <c r="O172" i="5"/>
  <c r="Q172" i="5"/>
  <c r="R172" i="5"/>
  <c r="S172" i="5"/>
  <c r="U172" i="5"/>
  <c r="W172" i="5"/>
  <c r="X172" i="5"/>
  <c r="AA172" i="5"/>
  <c r="AC172" i="5"/>
  <c r="E173" i="5"/>
  <c r="F173" i="5"/>
  <c r="G173" i="5"/>
  <c r="H173" i="5"/>
  <c r="J173" i="5"/>
  <c r="M173" i="5"/>
  <c r="O173" i="5"/>
  <c r="S173" i="5"/>
  <c r="U173" i="5"/>
  <c r="W173" i="5"/>
  <c r="X173" i="5"/>
  <c r="AA173" i="5"/>
  <c r="AC173" i="5"/>
  <c r="E174" i="5"/>
  <c r="F174" i="5"/>
  <c r="G174" i="5"/>
  <c r="H174" i="5"/>
  <c r="I174" i="5"/>
  <c r="J174" i="5"/>
  <c r="L174" i="5"/>
  <c r="M174" i="5"/>
  <c r="O174" i="5"/>
  <c r="Q174" i="5"/>
  <c r="R174" i="5"/>
  <c r="S174" i="5"/>
  <c r="U174" i="5"/>
  <c r="W174" i="5"/>
  <c r="X174" i="5"/>
  <c r="AA174" i="5"/>
  <c r="AC174" i="5"/>
  <c r="E175" i="5"/>
  <c r="F175" i="5"/>
  <c r="G175" i="5"/>
  <c r="H175" i="5"/>
  <c r="I175" i="5"/>
  <c r="J175" i="5"/>
  <c r="L175" i="5"/>
  <c r="M175" i="5"/>
  <c r="O175" i="5"/>
  <c r="Q175" i="5"/>
  <c r="S175" i="5"/>
  <c r="U175" i="5"/>
  <c r="W175" i="5"/>
  <c r="X175" i="5"/>
  <c r="AA175" i="5"/>
  <c r="AC175" i="5"/>
  <c r="E176" i="5"/>
  <c r="F176" i="5"/>
  <c r="G176" i="5"/>
  <c r="H176" i="5"/>
  <c r="I176" i="5"/>
  <c r="J176" i="5"/>
  <c r="L176" i="5"/>
  <c r="M176" i="5"/>
  <c r="O176" i="5"/>
  <c r="Q176" i="5"/>
  <c r="R176" i="5"/>
  <c r="S176" i="5"/>
  <c r="T176" i="5"/>
  <c r="U176" i="5"/>
  <c r="W176" i="5"/>
  <c r="X176" i="5"/>
  <c r="AA176" i="5"/>
  <c r="AC176" i="5"/>
  <c r="E177" i="5"/>
  <c r="F177" i="5"/>
  <c r="G177" i="5"/>
  <c r="H177" i="5"/>
  <c r="I177" i="5"/>
  <c r="J177" i="5"/>
  <c r="L177" i="5"/>
  <c r="M177" i="5"/>
  <c r="O177" i="5"/>
  <c r="Q177" i="5"/>
  <c r="R177" i="5"/>
  <c r="S177" i="5"/>
  <c r="T177" i="5"/>
  <c r="U177" i="5"/>
  <c r="W177" i="5"/>
  <c r="X177" i="5"/>
  <c r="AA177" i="5"/>
  <c r="AC177" i="5"/>
  <c r="AJ177" i="5"/>
  <c r="AJ178" i="5" s="1"/>
  <c r="AJ179" i="5" s="1"/>
  <c r="AJ180" i="5" s="1"/>
  <c r="AJ181" i="5" s="1"/>
  <c r="AJ182" i="5" s="1"/>
  <c r="AJ183" i="5" s="1"/>
  <c r="AJ184" i="5" s="1"/>
  <c r="AJ185" i="5" s="1"/>
  <c r="AJ186" i="5" s="1"/>
  <c r="AJ187" i="5" s="1"/>
  <c r="G178" i="5"/>
  <c r="H178" i="5"/>
  <c r="J178" i="5"/>
  <c r="M178" i="5"/>
  <c r="O178" i="5"/>
  <c r="S178" i="5"/>
  <c r="U178" i="5"/>
  <c r="W178" i="5"/>
  <c r="X178" i="5"/>
  <c r="AC178" i="5"/>
  <c r="E179" i="5"/>
  <c r="F179" i="5"/>
  <c r="G179" i="5"/>
  <c r="H179" i="5"/>
  <c r="I179" i="5"/>
  <c r="J179" i="5"/>
  <c r="L179" i="5"/>
  <c r="M179" i="5"/>
  <c r="O179" i="5"/>
  <c r="Q179" i="5"/>
  <c r="R179" i="5"/>
  <c r="S179" i="5"/>
  <c r="U179" i="5"/>
  <c r="W179" i="5"/>
  <c r="X179" i="5"/>
  <c r="AA179" i="5"/>
  <c r="AB179" i="5"/>
  <c r="AC179" i="5"/>
  <c r="E180" i="5"/>
  <c r="H180" i="5"/>
  <c r="J180" i="5"/>
  <c r="M180" i="5"/>
  <c r="O180" i="5"/>
  <c r="Q180" i="5"/>
  <c r="R180" i="5"/>
  <c r="S180" i="5"/>
  <c r="U180" i="5"/>
  <c r="W180" i="5"/>
  <c r="X180" i="5"/>
  <c r="AC180" i="5"/>
  <c r="G181" i="5"/>
  <c r="H181" i="5"/>
  <c r="J181" i="5"/>
  <c r="M181" i="5"/>
  <c r="O181" i="5"/>
  <c r="Q181" i="5"/>
  <c r="R181" i="5"/>
  <c r="S181" i="5"/>
  <c r="T181" i="5"/>
  <c r="U181" i="5"/>
  <c r="W181" i="5"/>
  <c r="X181" i="5"/>
  <c r="AC181" i="5"/>
  <c r="E182" i="5"/>
  <c r="G182" i="5"/>
  <c r="H182" i="5"/>
  <c r="I182" i="5"/>
  <c r="J182" i="5"/>
  <c r="M182" i="5"/>
  <c r="O182" i="5"/>
  <c r="Q182" i="5"/>
  <c r="R182" i="5"/>
  <c r="S182" i="5"/>
  <c r="T182" i="5"/>
  <c r="U182" i="5"/>
  <c r="W182" i="5"/>
  <c r="X182" i="5"/>
  <c r="AC182" i="5"/>
  <c r="G183" i="5"/>
  <c r="H183" i="5"/>
  <c r="J183" i="5"/>
  <c r="M183" i="5"/>
  <c r="O183" i="5"/>
  <c r="Q183" i="5"/>
  <c r="R183" i="5"/>
  <c r="S183" i="5"/>
  <c r="T183" i="5"/>
  <c r="U183" i="5"/>
  <c r="W183" i="5"/>
  <c r="X183" i="5"/>
  <c r="AA183" i="5"/>
  <c r="AB183" i="5"/>
  <c r="AC183" i="5"/>
  <c r="E184" i="5"/>
  <c r="G184" i="5"/>
  <c r="H184" i="5"/>
  <c r="J184" i="5"/>
  <c r="M184" i="5"/>
  <c r="O184" i="5"/>
  <c r="Q184" i="5"/>
  <c r="R184" i="5"/>
  <c r="S184" i="5"/>
  <c r="T184" i="5"/>
  <c r="U184" i="5"/>
  <c r="W184" i="5"/>
  <c r="X184" i="5"/>
  <c r="Y184" i="5"/>
  <c r="AA184" i="5"/>
  <c r="AB184" i="5"/>
  <c r="AC184" i="5"/>
  <c r="Q185" i="5"/>
  <c r="R185" i="5"/>
  <c r="S185" i="5"/>
  <c r="T185" i="5"/>
  <c r="U185" i="5"/>
  <c r="W185" i="5"/>
  <c r="X185" i="5"/>
  <c r="Y185" i="5"/>
  <c r="AA185" i="5"/>
  <c r="AB185" i="5"/>
  <c r="AC185" i="5"/>
  <c r="G186" i="5"/>
  <c r="H186" i="5"/>
  <c r="I186" i="5"/>
  <c r="J186" i="5"/>
  <c r="L186" i="5"/>
  <c r="M186" i="5"/>
  <c r="O186" i="5"/>
  <c r="Q186" i="5"/>
  <c r="R186" i="5"/>
  <c r="S186" i="5"/>
  <c r="T186" i="5"/>
  <c r="U186" i="5"/>
  <c r="W186" i="5"/>
  <c r="X186" i="5"/>
  <c r="Y186" i="5"/>
  <c r="AA186" i="5"/>
  <c r="AB186" i="5"/>
  <c r="AC186" i="5"/>
  <c r="E187" i="5"/>
  <c r="G187" i="5"/>
  <c r="H187" i="5"/>
  <c r="I187" i="5"/>
  <c r="J187" i="5"/>
  <c r="L187" i="5"/>
  <c r="M187" i="5"/>
  <c r="O187" i="5"/>
  <c r="Q187" i="5"/>
  <c r="R187" i="5"/>
  <c r="S187" i="5"/>
  <c r="T187" i="5"/>
  <c r="U187" i="5"/>
  <c r="W187" i="5"/>
  <c r="X187" i="5"/>
  <c r="Y187" i="5"/>
  <c r="AA187" i="5"/>
  <c r="AB187" i="5"/>
  <c r="AC187" i="5"/>
  <c r="E188" i="5"/>
  <c r="F188" i="5"/>
  <c r="G188" i="5"/>
  <c r="H188" i="5"/>
  <c r="I188" i="5"/>
  <c r="J188" i="5"/>
  <c r="L188" i="5"/>
  <c r="M188" i="5"/>
  <c r="O188" i="5"/>
  <c r="Q188" i="5"/>
  <c r="R188" i="5"/>
  <c r="S188" i="5"/>
  <c r="T188" i="5"/>
  <c r="U188" i="5"/>
  <c r="W188" i="5"/>
  <c r="X188" i="5"/>
  <c r="Y188" i="5"/>
  <c r="AA188" i="5"/>
  <c r="AB188" i="5"/>
  <c r="AC188" i="5"/>
  <c r="E189" i="5"/>
  <c r="F189" i="5"/>
  <c r="G189" i="5"/>
  <c r="H189" i="5"/>
  <c r="I189" i="5"/>
  <c r="J189" i="5"/>
  <c r="L189" i="5"/>
  <c r="M189" i="5"/>
  <c r="O189" i="5"/>
  <c r="Q189" i="5"/>
  <c r="R189" i="5"/>
  <c r="S189" i="5"/>
  <c r="T189" i="5"/>
  <c r="U189" i="5"/>
  <c r="W189" i="5"/>
  <c r="X189" i="5"/>
  <c r="Y189" i="5"/>
  <c r="AA189" i="5"/>
  <c r="AB189" i="5"/>
  <c r="AC189" i="5"/>
  <c r="AJ189" i="5"/>
  <c r="AJ190" i="5" s="1"/>
  <c r="AJ191" i="5" s="1"/>
  <c r="AJ192" i="5" s="1"/>
  <c r="AJ193" i="5" s="1"/>
  <c r="AJ194" i="5" s="1"/>
  <c r="AJ195" i="5" s="1"/>
  <c r="AJ196" i="5" s="1"/>
  <c r="AJ197" i="5" s="1"/>
  <c r="AJ198" i="5" s="1"/>
  <c r="AJ199" i="5" s="1"/>
  <c r="E190" i="5"/>
  <c r="F190" i="5"/>
  <c r="G190" i="5"/>
  <c r="H190" i="5"/>
  <c r="I190" i="5"/>
  <c r="J190" i="5"/>
  <c r="L190" i="5"/>
  <c r="M190" i="5"/>
  <c r="O190" i="5"/>
  <c r="Q190" i="5"/>
  <c r="R190" i="5"/>
  <c r="S190" i="5"/>
  <c r="T190" i="5"/>
  <c r="U190" i="5"/>
  <c r="W190" i="5"/>
  <c r="X190" i="5"/>
  <c r="Y190" i="5"/>
  <c r="AA190" i="5"/>
  <c r="AB190" i="5"/>
  <c r="AC190" i="5"/>
  <c r="E191" i="5"/>
  <c r="F191" i="5"/>
  <c r="G191" i="5"/>
  <c r="H191" i="5"/>
  <c r="I191" i="5"/>
  <c r="J191" i="5"/>
  <c r="L191" i="5"/>
  <c r="M191" i="5"/>
  <c r="O191" i="5"/>
  <c r="Q191" i="5"/>
  <c r="R191" i="5"/>
  <c r="S191" i="5"/>
  <c r="T191" i="5"/>
  <c r="U191" i="5"/>
  <c r="W191" i="5"/>
  <c r="X191" i="5"/>
  <c r="Y191" i="5"/>
  <c r="AA191" i="5"/>
  <c r="AB191" i="5"/>
  <c r="AC191" i="5"/>
  <c r="E192" i="5"/>
  <c r="F192" i="5"/>
  <c r="G192" i="5"/>
  <c r="H192" i="5"/>
  <c r="I192" i="5"/>
  <c r="J192" i="5"/>
  <c r="L192" i="5"/>
  <c r="M192" i="5"/>
  <c r="O192" i="5"/>
  <c r="Q192" i="5"/>
  <c r="R192" i="5"/>
  <c r="S192" i="5"/>
  <c r="T192" i="5"/>
  <c r="U192" i="5"/>
  <c r="W192" i="5"/>
  <c r="X192" i="5"/>
  <c r="Y192" i="5"/>
  <c r="AA192" i="5"/>
  <c r="AB192" i="5"/>
  <c r="AC192" i="5"/>
  <c r="E193" i="5"/>
  <c r="F193" i="5"/>
  <c r="G193" i="5"/>
  <c r="H193" i="5"/>
  <c r="I193" i="5"/>
  <c r="J193" i="5"/>
  <c r="L193" i="5"/>
  <c r="M193" i="5"/>
  <c r="O193" i="5"/>
  <c r="Q193" i="5"/>
  <c r="R193" i="5"/>
  <c r="S193" i="5"/>
  <c r="T193" i="5"/>
  <c r="U193" i="5"/>
  <c r="W193" i="5"/>
  <c r="X193" i="5"/>
  <c r="Y193" i="5"/>
  <c r="AA193" i="5"/>
  <c r="AB193" i="5"/>
  <c r="AC193" i="5"/>
  <c r="E194" i="5"/>
  <c r="F194" i="5"/>
  <c r="G194" i="5"/>
  <c r="H194" i="5"/>
  <c r="I194" i="5"/>
  <c r="J194" i="5"/>
  <c r="L194" i="5"/>
  <c r="M194" i="5"/>
  <c r="O194" i="5"/>
  <c r="Q194" i="5"/>
  <c r="R194" i="5"/>
  <c r="S194" i="5"/>
  <c r="T194" i="5"/>
  <c r="U194" i="5"/>
  <c r="W194" i="5"/>
  <c r="X194" i="5"/>
  <c r="Y194" i="5"/>
  <c r="AA194" i="5"/>
  <c r="AB194" i="5"/>
  <c r="AC194" i="5"/>
  <c r="E195" i="5"/>
  <c r="G195" i="5"/>
  <c r="H195" i="5"/>
  <c r="J195" i="5"/>
  <c r="M195" i="5"/>
  <c r="O195" i="5"/>
  <c r="Q195" i="5"/>
  <c r="R195" i="5"/>
  <c r="S195" i="5"/>
  <c r="T195" i="5"/>
  <c r="U195" i="5"/>
  <c r="W195" i="5"/>
  <c r="X195" i="5"/>
  <c r="Y195" i="5"/>
  <c r="AA195" i="5"/>
  <c r="AB195" i="5"/>
  <c r="AC195" i="5"/>
  <c r="E196" i="5"/>
  <c r="F196" i="5"/>
  <c r="G196" i="5"/>
  <c r="H196" i="5"/>
  <c r="I196" i="5"/>
  <c r="J196" i="5"/>
  <c r="L196" i="5"/>
  <c r="M196" i="5"/>
  <c r="O196" i="5"/>
  <c r="Q196" i="5"/>
  <c r="R196" i="5"/>
  <c r="S196" i="5"/>
  <c r="T196" i="5"/>
  <c r="U196" i="5"/>
  <c r="W196" i="5"/>
  <c r="X196" i="5"/>
  <c r="Y196" i="5"/>
  <c r="AA196" i="5"/>
  <c r="AB196" i="5"/>
  <c r="AC196" i="5"/>
  <c r="G197" i="5"/>
  <c r="J197" i="5"/>
  <c r="M197" i="5"/>
  <c r="O197" i="5"/>
  <c r="S197" i="5"/>
  <c r="T197" i="5"/>
  <c r="U197" i="5"/>
  <c r="W197" i="5"/>
  <c r="X197" i="5"/>
  <c r="Y197" i="5"/>
  <c r="AA197" i="5"/>
  <c r="AC197" i="5"/>
  <c r="G198" i="5"/>
  <c r="J198" i="5"/>
  <c r="M198" i="5"/>
  <c r="O198" i="5"/>
  <c r="S198" i="5"/>
  <c r="T198" i="5"/>
  <c r="U198" i="5"/>
  <c r="W198" i="5"/>
  <c r="X198" i="5"/>
  <c r="Y198" i="5"/>
  <c r="AA198" i="5"/>
  <c r="AB198" i="5"/>
  <c r="AC198" i="5"/>
  <c r="G199" i="5"/>
  <c r="J199" i="5"/>
  <c r="M199" i="5"/>
  <c r="O199" i="5"/>
  <c r="S199" i="5"/>
  <c r="T199" i="5"/>
  <c r="U199" i="5"/>
  <c r="W199" i="5"/>
  <c r="X199" i="5"/>
  <c r="Y199" i="5"/>
  <c r="AA199" i="5"/>
  <c r="AB199" i="5"/>
  <c r="AC199" i="5"/>
  <c r="G200" i="5"/>
  <c r="J200" i="5"/>
  <c r="M200" i="5"/>
  <c r="O200" i="5"/>
  <c r="S200" i="5"/>
  <c r="T200" i="5"/>
  <c r="U200" i="5"/>
  <c r="W200" i="5"/>
  <c r="X200" i="5"/>
  <c r="Y200" i="5"/>
  <c r="AC200" i="5"/>
  <c r="E201" i="5"/>
  <c r="F201" i="5"/>
  <c r="G201" i="5"/>
  <c r="H201" i="5"/>
  <c r="I201" i="5"/>
  <c r="J201" i="5"/>
  <c r="L201" i="5"/>
  <c r="M201" i="5"/>
  <c r="O201" i="5"/>
  <c r="Q201" i="5"/>
  <c r="R201" i="5"/>
  <c r="S201" i="5"/>
  <c r="T201" i="5"/>
  <c r="U201" i="5"/>
  <c r="W201" i="5"/>
  <c r="X201" i="5"/>
  <c r="Y201" i="5"/>
  <c r="AC201" i="5"/>
  <c r="AJ201" i="5"/>
  <c r="AJ202" i="5" s="1"/>
  <c r="AJ203" i="5" s="1"/>
  <c r="AJ204" i="5" s="1"/>
  <c r="AJ205" i="5" s="1"/>
  <c r="AJ206" i="5" s="1"/>
  <c r="AJ207" i="5" s="1"/>
  <c r="AJ208" i="5" s="1"/>
  <c r="AJ209" i="5" s="1"/>
  <c r="AJ210" i="5" s="1"/>
  <c r="AJ211" i="5" s="1"/>
  <c r="G202" i="5"/>
  <c r="J202" i="5"/>
  <c r="M202" i="5"/>
  <c r="O202" i="5"/>
  <c r="S202" i="5"/>
  <c r="T202" i="5"/>
  <c r="U202" i="5"/>
  <c r="W202" i="5"/>
  <c r="X202" i="5"/>
  <c r="Y202" i="5"/>
  <c r="AC202" i="5"/>
  <c r="E203" i="5"/>
  <c r="G203" i="5"/>
  <c r="J203" i="5"/>
  <c r="M203" i="5"/>
  <c r="O203" i="5"/>
  <c r="S203" i="5"/>
  <c r="T203" i="5"/>
  <c r="U203" i="5"/>
  <c r="W203" i="5"/>
  <c r="X203" i="5"/>
  <c r="Y203" i="5"/>
  <c r="AC203" i="5"/>
  <c r="G204" i="5"/>
  <c r="J204" i="5"/>
  <c r="M204" i="5"/>
  <c r="O204" i="5"/>
  <c r="S204" i="5"/>
  <c r="T204" i="5"/>
  <c r="U204" i="5"/>
  <c r="W204" i="5"/>
  <c r="X204" i="5"/>
  <c r="Y204" i="5"/>
  <c r="AC204" i="5"/>
  <c r="E205" i="5"/>
  <c r="G205" i="5"/>
  <c r="J205" i="5"/>
  <c r="M205" i="5"/>
  <c r="O205" i="5"/>
  <c r="S205" i="5"/>
  <c r="U205" i="5"/>
  <c r="W205" i="5"/>
  <c r="X205" i="5"/>
  <c r="AC205" i="5"/>
  <c r="E206" i="5"/>
  <c r="G206" i="5"/>
  <c r="J206" i="5"/>
  <c r="M206" i="5"/>
  <c r="O206" i="5"/>
  <c r="S206" i="5"/>
  <c r="T206" i="5"/>
  <c r="U206" i="5"/>
  <c r="W206" i="5"/>
  <c r="X206" i="5"/>
  <c r="Y206" i="5"/>
  <c r="AC206" i="5"/>
  <c r="F207" i="5"/>
  <c r="G207" i="5"/>
  <c r="H207" i="5"/>
  <c r="I207" i="5"/>
  <c r="J207" i="5"/>
  <c r="L207" i="5"/>
  <c r="M207" i="5"/>
  <c r="O207" i="5"/>
  <c r="Q207" i="5"/>
  <c r="R207" i="5"/>
  <c r="S207" i="5"/>
  <c r="T207" i="5"/>
  <c r="U207" i="5"/>
  <c r="W207" i="5"/>
  <c r="X207" i="5"/>
  <c r="Y207" i="5"/>
  <c r="AA207" i="5"/>
  <c r="AB207" i="5"/>
  <c r="AC207" i="5"/>
  <c r="E208" i="5"/>
  <c r="G208" i="5"/>
  <c r="J208" i="5"/>
  <c r="M208" i="5"/>
  <c r="O208" i="5"/>
  <c r="S208" i="5"/>
  <c r="T208" i="5"/>
  <c r="U208" i="5"/>
  <c r="W208" i="5"/>
  <c r="X208" i="5"/>
  <c r="Y208" i="5"/>
  <c r="AC208" i="5"/>
  <c r="E209" i="5"/>
  <c r="G209" i="5"/>
  <c r="J209" i="5"/>
  <c r="M209" i="5"/>
  <c r="O209" i="5"/>
  <c r="S209" i="5"/>
  <c r="T209" i="5"/>
  <c r="U209" i="5"/>
  <c r="W209" i="5"/>
  <c r="X209" i="5"/>
  <c r="Y209" i="5"/>
  <c r="AC209" i="5"/>
  <c r="E210" i="5"/>
  <c r="G210" i="5"/>
  <c r="J210" i="5"/>
  <c r="M210" i="5"/>
  <c r="O210" i="5"/>
  <c r="S210" i="5"/>
  <c r="T210" i="5"/>
  <c r="U210" i="5"/>
  <c r="W210" i="5"/>
  <c r="X210" i="5"/>
  <c r="Y210" i="5"/>
  <c r="AC210" i="5"/>
  <c r="E212" i="5"/>
  <c r="G212" i="5"/>
  <c r="J212" i="5"/>
  <c r="M212" i="5"/>
  <c r="O212" i="5"/>
  <c r="S212" i="5"/>
  <c r="T212" i="5"/>
  <c r="U212" i="5"/>
  <c r="W212" i="5"/>
  <c r="X212" i="5"/>
  <c r="Y212" i="5"/>
  <c r="AC212" i="5"/>
  <c r="G213" i="5"/>
  <c r="J213" i="5"/>
  <c r="M213" i="5"/>
  <c r="O213" i="5"/>
  <c r="S213" i="5"/>
  <c r="T213" i="5"/>
  <c r="U213" i="5"/>
  <c r="W213" i="5"/>
  <c r="X213" i="5"/>
  <c r="Y213" i="5"/>
  <c r="AC213" i="5"/>
  <c r="AJ213" i="5"/>
  <c r="AJ214" i="5" s="1"/>
  <c r="AJ215" i="5" s="1"/>
  <c r="AJ216" i="5" s="1"/>
  <c r="AJ217" i="5" s="1"/>
  <c r="AJ218" i="5" s="1"/>
  <c r="AJ219" i="5" s="1"/>
  <c r="AJ220" i="5" s="1"/>
  <c r="AJ221" i="5" s="1"/>
  <c r="AJ222" i="5" s="1"/>
  <c r="AJ223" i="5" s="1"/>
  <c r="E214" i="5"/>
  <c r="G214" i="5"/>
  <c r="J214" i="5"/>
  <c r="M214" i="5"/>
  <c r="O214" i="5"/>
  <c r="S214" i="5"/>
  <c r="T214" i="5"/>
  <c r="U214" i="5"/>
  <c r="W214" i="5"/>
  <c r="X214" i="5"/>
  <c r="Y214" i="5"/>
  <c r="AC214" i="5"/>
  <c r="J215" i="5"/>
  <c r="M215" i="5"/>
  <c r="O215" i="5"/>
  <c r="S215" i="5"/>
  <c r="T215" i="5"/>
  <c r="U215" i="5"/>
  <c r="W215" i="5"/>
  <c r="X215" i="5"/>
  <c r="Y215" i="5"/>
  <c r="AC215" i="5"/>
  <c r="M216" i="5"/>
  <c r="U216" i="5"/>
  <c r="W216" i="5"/>
  <c r="X216" i="5"/>
  <c r="Y216" i="5"/>
  <c r="AC216" i="5"/>
  <c r="G217" i="5"/>
  <c r="J217" i="5"/>
  <c r="M217" i="5"/>
  <c r="O217" i="5"/>
  <c r="S217" i="5"/>
  <c r="T217" i="5"/>
  <c r="U217" i="5"/>
  <c r="W217" i="5"/>
  <c r="X217" i="5"/>
  <c r="Y217" i="5"/>
  <c r="AC217" i="5"/>
  <c r="G218" i="5"/>
  <c r="J218" i="5"/>
  <c r="M218" i="5"/>
  <c r="O218" i="5"/>
  <c r="S218" i="5"/>
  <c r="T218" i="5"/>
  <c r="U218" i="5"/>
  <c r="W218" i="5"/>
  <c r="X218" i="5"/>
  <c r="Y218" i="5"/>
  <c r="AC218" i="5"/>
  <c r="F219" i="5"/>
  <c r="G219" i="5"/>
  <c r="H219" i="5"/>
  <c r="J219" i="5"/>
  <c r="M219" i="5"/>
  <c r="O219" i="5"/>
  <c r="S219" i="5"/>
  <c r="T219" i="5"/>
  <c r="U219" i="5"/>
  <c r="W219" i="5"/>
  <c r="X219" i="5"/>
  <c r="Y219" i="5"/>
  <c r="AC219" i="5"/>
  <c r="G220" i="5"/>
  <c r="J220" i="5"/>
  <c r="M220" i="5"/>
  <c r="O220" i="5"/>
  <c r="S220" i="5"/>
  <c r="T220" i="5"/>
  <c r="U220" i="5"/>
  <c r="W220" i="5"/>
  <c r="X220" i="5"/>
  <c r="Y220" i="5"/>
  <c r="AC220" i="5"/>
  <c r="G221" i="5"/>
  <c r="I221" i="5"/>
  <c r="J221" i="5"/>
  <c r="M221" i="5"/>
  <c r="O221" i="5"/>
  <c r="S221" i="5"/>
  <c r="T221" i="5"/>
  <c r="U221" i="5"/>
  <c r="W221" i="5"/>
  <c r="X221" i="5"/>
  <c r="Y221" i="5"/>
  <c r="AC221" i="5"/>
  <c r="G222" i="5"/>
  <c r="J222" i="5"/>
  <c r="M222" i="5"/>
  <c r="O222" i="5"/>
  <c r="S222" i="5"/>
  <c r="T222" i="5"/>
  <c r="U222" i="5"/>
  <c r="W222" i="5"/>
  <c r="X222" i="5"/>
  <c r="Y222" i="5"/>
  <c r="AC222" i="5"/>
  <c r="E225" i="5"/>
  <c r="F225" i="5"/>
  <c r="G225" i="5"/>
  <c r="H225" i="5"/>
  <c r="I225" i="5"/>
  <c r="J225" i="5"/>
  <c r="L225" i="5"/>
  <c r="M225" i="5"/>
  <c r="O225" i="5"/>
  <c r="Q225" i="5"/>
  <c r="R225" i="5"/>
  <c r="S225" i="5"/>
  <c r="T225" i="5"/>
  <c r="U225" i="5"/>
  <c r="W225" i="5"/>
  <c r="X225" i="5"/>
  <c r="Y225" i="5"/>
  <c r="AA225" i="5"/>
  <c r="AB225" i="5"/>
  <c r="AC225" i="5"/>
  <c r="AJ225" i="5"/>
  <c r="AJ226" i="5" s="1"/>
  <c r="AJ227" i="5" s="1"/>
  <c r="AJ228" i="5" s="1"/>
  <c r="AJ229" i="5" s="1"/>
  <c r="AJ230" i="5" s="1"/>
  <c r="AJ231" i="5" s="1"/>
  <c r="AJ232" i="5" s="1"/>
  <c r="AJ233" i="5" s="1"/>
  <c r="AJ234" i="5" s="1"/>
  <c r="AJ235" i="5" s="1"/>
  <c r="E226" i="5"/>
  <c r="G226" i="5"/>
  <c r="I226" i="5"/>
  <c r="J226" i="5"/>
  <c r="L226" i="5"/>
  <c r="M226" i="5"/>
  <c r="O226" i="5"/>
  <c r="S226" i="5"/>
  <c r="T226" i="5"/>
  <c r="U226" i="5"/>
  <c r="W226" i="5"/>
  <c r="X226" i="5"/>
  <c r="Y226" i="5"/>
  <c r="AC226" i="5"/>
  <c r="S227" i="5"/>
  <c r="AI227" i="5" s="1"/>
  <c r="S230" i="5"/>
  <c r="AI230" i="5" s="1"/>
  <c r="AK230" i="5" s="1"/>
  <c r="S232" i="5"/>
  <c r="T232" i="5"/>
  <c r="E233" i="5"/>
  <c r="G233" i="5"/>
  <c r="J233" i="5"/>
  <c r="M233" i="5"/>
  <c r="O233" i="5"/>
  <c r="S233" i="5"/>
  <c r="T233" i="5"/>
  <c r="U233" i="5"/>
  <c r="W233" i="5"/>
  <c r="X233" i="5"/>
  <c r="Y233" i="5"/>
  <c r="AC233" i="5"/>
  <c r="S234" i="5"/>
  <c r="AI234" i="5" s="1"/>
  <c r="AM234" i="5" s="1"/>
  <c r="AM146" i="5"/>
  <c r="AN146" i="5" s="1"/>
  <c r="P263" i="76"/>
  <c r="P266" i="76"/>
  <c r="Q226" i="76"/>
  <c r="AK281" i="5"/>
  <c r="AM229" i="5"/>
  <c r="N183" i="76"/>
  <c r="AK280" i="5"/>
  <c r="AI14" i="5" l="1"/>
  <c r="N210" i="76"/>
  <c r="P210" i="76" s="1"/>
  <c r="AI247" i="5"/>
  <c r="AI248" i="5"/>
  <c r="AK249" i="5" s="1"/>
  <c r="AI249" i="5"/>
  <c r="P259" i="76"/>
  <c r="AK274" i="5"/>
  <c r="AK229" i="5"/>
  <c r="AI219" i="5"/>
  <c r="AI217" i="5"/>
  <c r="AM217" i="5" s="1"/>
  <c r="AI214" i="5"/>
  <c r="AI200" i="5"/>
  <c r="AK265" i="5"/>
  <c r="P276" i="76"/>
  <c r="P278" i="76"/>
  <c r="P281" i="76"/>
  <c r="P272" i="76"/>
  <c r="AK283" i="5"/>
  <c r="AK276" i="5"/>
  <c r="AK255" i="5"/>
  <c r="AI170" i="5"/>
  <c r="AI10" i="5"/>
  <c r="N216" i="76"/>
  <c r="P216" i="76" s="1"/>
  <c r="AI236" i="5"/>
  <c r="AK236" i="5" s="1"/>
  <c r="AK258" i="5"/>
  <c r="AK261" i="5"/>
  <c r="AK262" i="5"/>
  <c r="AK279" i="5"/>
  <c r="P280" i="76"/>
  <c r="AI232" i="5"/>
  <c r="AK232" i="5" s="1"/>
  <c r="AI79" i="5"/>
  <c r="AK248" i="5"/>
  <c r="AK282" i="5"/>
  <c r="AI210" i="5"/>
  <c r="AI186" i="5"/>
  <c r="AI73" i="5"/>
  <c r="AI71" i="5"/>
  <c r="N185" i="76"/>
  <c r="P254" i="76"/>
  <c r="AK259" i="5"/>
  <c r="P260" i="76"/>
  <c r="AK235" i="5"/>
  <c r="AM230" i="5"/>
  <c r="AK272" i="5"/>
  <c r="AI196" i="5"/>
  <c r="AI189" i="5"/>
  <c r="AI187" i="5"/>
  <c r="AI185" i="5"/>
  <c r="AI184" i="5"/>
  <c r="AI183" i="5"/>
  <c r="AI181" i="5"/>
  <c r="AI179" i="5"/>
  <c r="AI176" i="5"/>
  <c r="AI174" i="5"/>
  <c r="AI173" i="5"/>
  <c r="AI70" i="5"/>
  <c r="AI19" i="5"/>
  <c r="AI16" i="5"/>
  <c r="AI8" i="5"/>
  <c r="AI237" i="5"/>
  <c r="AI241" i="5"/>
  <c r="AI242" i="5"/>
  <c r="AK243" i="5" s="1"/>
  <c r="AI246" i="5"/>
  <c r="AK247" i="5" s="1"/>
  <c r="AI250" i="5"/>
  <c r="AK250" i="5" s="1"/>
  <c r="AI252" i="5"/>
  <c r="AK253" i="5" s="1"/>
  <c r="P252" i="76"/>
  <c r="AK266" i="5"/>
  <c r="AK267" i="5"/>
  <c r="AI216" i="5"/>
  <c r="AK217" i="5" s="1"/>
  <c r="P226" i="76"/>
  <c r="AI238" i="5"/>
  <c r="AK238" i="5" s="1"/>
  <c r="AK263" i="5"/>
  <c r="AK269" i="5"/>
  <c r="AK242" i="5"/>
  <c r="AK257" i="5"/>
  <c r="AK256" i="5"/>
  <c r="AM227" i="5"/>
  <c r="AK228" i="5"/>
  <c r="AI12" i="5"/>
  <c r="N223" i="76"/>
  <c r="Q223" i="76" s="1"/>
  <c r="N186" i="76"/>
  <c r="N180" i="76"/>
  <c r="AK268" i="5"/>
  <c r="P228" i="76"/>
  <c r="AI220" i="5"/>
  <c r="AM220" i="5" s="1"/>
  <c r="AI198" i="5"/>
  <c r="N206" i="76"/>
  <c r="P206" i="76" s="1"/>
  <c r="N190" i="76"/>
  <c r="N188" i="76"/>
  <c r="N166" i="76"/>
  <c r="N165" i="76"/>
  <c r="AK224" i="5"/>
  <c r="N235" i="76"/>
  <c r="AI239" i="5"/>
  <c r="AK239" i="5" s="1"/>
  <c r="N236" i="76"/>
  <c r="N239" i="76"/>
  <c r="N240" i="76"/>
  <c r="P240" i="76" s="1"/>
  <c r="P258" i="76"/>
  <c r="P261" i="76"/>
  <c r="AK278" i="5"/>
  <c r="AK231" i="5"/>
  <c r="AI233" i="5"/>
  <c r="AK233" i="5" s="1"/>
  <c r="AI221" i="5"/>
  <c r="AI212" i="5"/>
  <c r="AI206" i="5"/>
  <c r="AI202" i="5"/>
  <c r="AI197" i="5"/>
  <c r="AI192" i="5"/>
  <c r="N207" i="76"/>
  <c r="P207" i="76" s="1"/>
  <c r="N197" i="76"/>
  <c r="N192" i="76"/>
  <c r="N170" i="76"/>
  <c r="N167" i="76"/>
  <c r="N249" i="76"/>
  <c r="P250" i="76" s="1"/>
  <c r="AK260" i="5"/>
  <c r="P268" i="76"/>
  <c r="AK273" i="5"/>
  <c r="AI195" i="5"/>
  <c r="AI165" i="5"/>
  <c r="AI159" i="5"/>
  <c r="AI17" i="5"/>
  <c r="AI11" i="5"/>
  <c r="N191" i="76"/>
  <c r="AI244" i="5"/>
  <c r="AK244" i="5" s="1"/>
  <c r="N244" i="76"/>
  <c r="AI251" i="5"/>
  <c r="AK251" i="5" s="1"/>
  <c r="P257" i="76"/>
  <c r="P279" i="76"/>
  <c r="N217" i="76"/>
  <c r="N212" i="76"/>
  <c r="P213" i="76" s="1"/>
  <c r="N198" i="76"/>
  <c r="N179" i="76"/>
  <c r="N173" i="76"/>
  <c r="N168" i="76"/>
  <c r="N243" i="76"/>
  <c r="P227" i="76"/>
  <c r="P229" i="76"/>
  <c r="N230" i="76"/>
  <c r="P230" i="76" s="1"/>
  <c r="N215" i="76"/>
  <c r="N181" i="76"/>
  <c r="N169" i="76"/>
  <c r="N246" i="76"/>
  <c r="N248" i="76"/>
  <c r="P253" i="76"/>
  <c r="P267" i="76"/>
  <c r="P273" i="76"/>
  <c r="P264" i="76"/>
  <c r="P221" i="76"/>
  <c r="N218" i="76"/>
  <c r="Q218" i="76" s="1"/>
  <c r="N208" i="76"/>
  <c r="P209" i="76" s="1"/>
  <c r="N196" i="76"/>
  <c r="N187" i="76"/>
  <c r="N177" i="76"/>
  <c r="N245" i="76"/>
  <c r="P269" i="76"/>
  <c r="P271" i="76"/>
  <c r="AM219" i="5"/>
  <c r="AI213" i="5"/>
  <c r="Q216" i="76"/>
  <c r="AI194" i="5"/>
  <c r="AI193" i="5"/>
  <c r="AI191" i="5"/>
  <c r="AI178" i="5"/>
  <c r="AI171" i="5"/>
  <c r="AI169" i="5"/>
  <c r="AI168" i="5"/>
  <c r="AI207" i="5"/>
  <c r="AI13" i="5"/>
  <c r="N224" i="76"/>
  <c r="N219" i="76"/>
  <c r="N203" i="76"/>
  <c r="N202" i="76"/>
  <c r="N171" i="76"/>
  <c r="AI240" i="5"/>
  <c r="N237" i="76"/>
  <c r="P237" i="76" s="1"/>
  <c r="AI245" i="5"/>
  <c r="N242" i="76"/>
  <c r="P275" i="76"/>
  <c r="P274" i="76"/>
  <c r="AI209" i="5"/>
  <c r="AI208" i="5"/>
  <c r="AI199" i="5"/>
  <c r="AI182" i="5"/>
  <c r="AI9" i="5"/>
  <c r="N222" i="76"/>
  <c r="N204" i="76"/>
  <c r="N199" i="76"/>
  <c r="N194" i="76"/>
  <c r="N193" i="76"/>
  <c r="N184" i="76"/>
  <c r="N182" i="76"/>
  <c r="N175" i="76"/>
  <c r="N172" i="76"/>
  <c r="N233" i="76"/>
  <c r="P233" i="76" s="1"/>
  <c r="N238" i="76"/>
  <c r="AI226" i="5"/>
  <c r="AI222" i="5"/>
  <c r="AI218" i="5"/>
  <c r="AI215" i="5"/>
  <c r="AK215" i="5" s="1"/>
  <c r="AI204" i="5"/>
  <c r="AI203" i="5"/>
  <c r="AI190" i="5"/>
  <c r="AI188" i="5"/>
  <c r="AI180" i="5"/>
  <c r="AI177" i="5"/>
  <c r="AI172" i="5"/>
  <c r="AI167" i="5"/>
  <c r="AI166" i="5"/>
  <c r="AI18" i="5"/>
  <c r="P232" i="76"/>
  <c r="N211" i="76"/>
  <c r="P211" i="76" s="1"/>
  <c r="N205" i="76"/>
  <c r="N201" i="76"/>
  <c r="N200" i="76"/>
  <c r="N195" i="76"/>
  <c r="N189" i="76"/>
  <c r="N176" i="76"/>
  <c r="N174" i="76"/>
  <c r="N241" i="76"/>
  <c r="P255" i="76"/>
  <c r="AI225" i="5"/>
  <c r="AI205" i="5"/>
  <c r="AI201" i="5"/>
  <c r="AI175" i="5"/>
  <c r="AI15" i="5"/>
  <c r="N214" i="76"/>
  <c r="P214" i="76" s="1"/>
  <c r="N178" i="76"/>
  <c r="N234" i="76"/>
  <c r="N247" i="76"/>
  <c r="AK285" i="5"/>
  <c r="AK284" i="5"/>
  <c r="AK270" i="5"/>
  <c r="AK220" i="5" l="1"/>
  <c r="P249" i="76"/>
  <c r="P244" i="76"/>
  <c r="AK237" i="5"/>
  <c r="AK214" i="5"/>
  <c r="P245" i="76"/>
  <c r="AM232" i="5"/>
  <c r="P243" i="76"/>
  <c r="P208" i="76"/>
  <c r="AK221" i="5"/>
  <c r="P236" i="76"/>
  <c r="P241" i="76"/>
  <c r="AK245" i="5"/>
  <c r="P215" i="76"/>
  <c r="P238" i="76"/>
  <c r="AK252" i="5"/>
  <c r="AM221" i="5"/>
  <c r="AM233" i="5"/>
  <c r="AK234" i="5"/>
  <c r="P231" i="76"/>
  <c r="P246" i="76"/>
  <c r="P218" i="76"/>
  <c r="Q217" i="76"/>
  <c r="P217" i="76"/>
  <c r="P247" i="76"/>
  <c r="AM218" i="5"/>
  <c r="AK218" i="5"/>
  <c r="P239" i="76"/>
  <c r="AK216" i="5"/>
  <c r="P248" i="76"/>
  <c r="P234" i="76"/>
  <c r="P235" i="76"/>
  <c r="AK225" i="5"/>
  <c r="AM225" i="5"/>
  <c r="AK223" i="5"/>
  <c r="AK222" i="5"/>
  <c r="AM222" i="5"/>
  <c r="P222" i="76"/>
  <c r="Q222" i="76"/>
  <c r="P223" i="76"/>
  <c r="AK240" i="5"/>
  <c r="AK241" i="5"/>
  <c r="P220" i="76"/>
  <c r="Q219" i="76"/>
  <c r="P219" i="76"/>
  <c r="P212" i="76"/>
  <c r="AK246" i="5"/>
  <c r="AM226" i="5"/>
  <c r="AK226" i="5"/>
  <c r="AK227" i="5"/>
  <c r="AJ19" i="5"/>
  <c r="P242" i="76"/>
  <c r="P225" i="76"/>
  <c r="Q224" i="76"/>
  <c r="P224" i="76"/>
  <c r="AK219" i="5"/>
</calcChain>
</file>

<file path=xl/comments1.xml><?xml version="1.0" encoding="utf-8"?>
<comments xmlns="http://schemas.openxmlformats.org/spreadsheetml/2006/main">
  <authors>
    <author>Ricaldi Rodriguez Merly</author>
    <author>MEM</author>
  </authors>
  <commentList>
    <comment ref="AJ7" authorId="0" shape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W84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AQUI PASA DE OXY A PLUSPETROL</t>
        </r>
      </text>
    </comment>
    <comment ref="AJ93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96061</t>
        </r>
      </text>
    </comment>
    <comment ref="AJ94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de 95761</t>
        </r>
      </text>
    </comment>
    <comment ref="AJ95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96262BPD</t>
        </r>
      </text>
    </comment>
    <comment ref="AJ96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97905BOPD</t>
        </r>
      </text>
    </comment>
  </commentList>
</comments>
</file>

<file path=xl/comments2.xml><?xml version="1.0" encoding="utf-8"?>
<comments xmlns="http://schemas.openxmlformats.org/spreadsheetml/2006/main">
  <authors>
    <author>Galvez Palacios Maria</author>
    <author>Ricaldi Rodriguez Merly</author>
    <author>MEM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Galvez Palacios Maria:</t>
        </r>
        <r>
          <rPr>
            <sz val="9"/>
            <color indexed="81"/>
            <rFont val="Tahoma"/>
            <family val="2"/>
          </rPr>
          <t xml:space="preserve">
27.03.14  FIEC</t>
        </r>
      </text>
    </comment>
    <comment ref="O4" authorId="1" shape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O89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este me fue 16289
</t>
        </r>
      </text>
    </comment>
    <comment ref="O90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16300</t>
        </r>
      </text>
    </comment>
    <comment ref="O91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es de 17976</t>
        </r>
      </text>
    </comment>
    <comment ref="O92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 a esta fecha 17738</t>
        </r>
      </text>
    </comment>
    <comment ref="O93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 esta fecha 18454</t>
        </r>
      </text>
    </comment>
    <comment ref="O94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promedi real a la fecha
</t>
        </r>
      </text>
    </comment>
    <comment ref="O95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<sst xmlns="http://schemas.openxmlformats.org/spreadsheetml/2006/main" count="81" uniqueCount="70">
  <si>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</si>
  <si>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</si>
  <si>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</si>
  <si>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</si>
  <si>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</si>
  <si>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</si>
  <si>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</si>
  <si>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</si>
  <si>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</si>
  <si>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</si>
  <si>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</si>
  <si>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</si>
  <si>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</si>
  <si>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</si>
  <si>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</si>
  <si>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</si>
  <si>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</si>
  <si>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</si>
  <si>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</si>
  <si>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</si>
  <si>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</si>
  <si>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</si>
  <si>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</si>
  <si>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</si>
  <si>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</si>
  <si>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</si>
  <si>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</si>
  <si>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</si>
  <si>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</si>
  <si>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</si>
  <si>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</si>
  <si>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</si>
  <si>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</si>
  <si>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</si>
  <si>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</si>
  <si>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</si>
  <si>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</si>
  <si>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</si>
  <si>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</si>
  <si>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</si>
  <si>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</si>
  <si>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</si>
  <si>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</si>
  <si>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</si>
  <si>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</si>
  <si>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</si>
  <si>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</si>
  <si>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</si>
  <si>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</si>
  <si>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</si>
  <si>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</si>
  <si>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</si>
  <si>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</si>
  <si>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</si>
  <si>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</si>
  <si>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</si>
  <si>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</si>
  <si>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</si>
  <si>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</si>
  <si>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</si>
  <si>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</si>
  <si>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</si>
  <si>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</si>
  <si>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</si>
  <si>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</si>
  <si>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</si>
  <si>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</si>
  <si>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31 DE OCTUBRE DEL 2021</t>
  </si>
  <si>
    <r>
      <t xml:space="preserve">COMENTARIOS:
</t>
    </r>
    <r>
      <rPr>
        <sz val="12"/>
        <color indexed="62"/>
        <rFont val="Calibri"/>
        <family val="2"/>
      </rPr>
      <t>• El promedio de la producción fiscalizada de Hidrocarburos Líquidos al mes de octubre de 2021 fue de 129,543 Bpd; superior en 1,257 Bpd comparado al mes anterior.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</si>
  <si>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al mes de octubre 2021 fue de 1'367 MMPCD; superior en 94 MMPCD comparado al mes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</si>
</sst>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\ _S_/_._-;\-* #,##0\ _S_/_._-;_-* &quot;-&quot;\ _S_/_._-;_-@_-"/>
    <numFmt numFmtId="165" formatCode="_-* #,##0.00\ _S_/_._-;\-* #,##0.00\ _S_/_._-;_-* &quot;-&quot;??\ _S_/_._-;_-@_-"/>
    <numFmt numFmtId="166" formatCode="0.000"/>
    <numFmt numFmtId="167" formatCode="0.0"/>
    <numFmt numFmtId="168" formatCode="#,##0.0"/>
    <numFmt numFmtId="169" formatCode="_-* #,##0\ _S_/_._-;\-* #,##0\ _S_/_._-;_-* &quot;-&quot;??\ _S_/_._-;_-@_-"/>
    <numFmt numFmtId="170" formatCode="0.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u/>
      <sz val="12"/>
      <color theme="3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6"/>
      <color indexed="62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317">
    <xf numFmtId="0" fontId="0" fillId="0" borderId="0" xfId="0"/>
    <xf numFmtId="1" fontId="0" fillId="0" borderId="0" xfId="0" applyNumberFormat="1"/>
    <xf numFmtId="3" fontId="0" fillId="0" borderId="1" xfId="0" applyNumberFormat="1" applyBorder="1"/>
    <xf numFmtId="1" fontId="0" fillId="0" borderId="1" xfId="0" applyNumberFormat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3" fontId="0" fillId="0" borderId="0" xfId="0" applyNumberFormat="1" applyAlignment="1">
      <alignment horizontal="center"/>
    </xf>
    <xf numFmtId="0" fontId="0" fillId="2" borderId="0" xfId="0" applyFill="1"/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8" fillId="3" borderId="2" xfId="0" applyNumberFormat="1" applyFont="1" applyFill="1" applyBorder="1"/>
    <xf numFmtId="1" fontId="8" fillId="3" borderId="3" xfId="0" applyNumberFormat="1" applyFont="1" applyFill="1" applyBorder="1"/>
    <xf numFmtId="0" fontId="8" fillId="3" borderId="4" xfId="0" applyFont="1" applyFill="1" applyBorder="1"/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3" fontId="0" fillId="0" borderId="1" xfId="0" applyNumberFormat="1" applyBorder="1" applyAlignment="1">
      <alignment horizontal="center"/>
    </xf>
    <xf numFmtId="0" fontId="0" fillId="0" borderId="0" xfId="0" applyFill="1"/>
    <xf numFmtId="3" fontId="0" fillId="0" borderId="2" xfId="0" applyNumberFormat="1" applyBorder="1"/>
    <xf numFmtId="3" fontId="0" fillId="0" borderId="4" xfId="0" applyNumberFormat="1" applyBorder="1"/>
    <xf numFmtId="3" fontId="0" fillId="0" borderId="7" xfId="0" applyNumberFormat="1" applyBorder="1"/>
    <xf numFmtId="3" fontId="3" fillId="0" borderId="8" xfId="2" applyNumberFormat="1" applyBorder="1"/>
    <xf numFmtId="3" fontId="0" fillId="0" borderId="8" xfId="0" applyNumberFormat="1" applyBorder="1"/>
    <xf numFmtId="3" fontId="0" fillId="0" borderId="1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0" xfId="0" applyBorder="1"/>
    <xf numFmtId="3" fontId="0" fillId="0" borderId="2" xfId="0" applyNumberFormat="1" applyBorder="1" applyAlignment="1">
      <alignment horizontal="center"/>
    </xf>
    <xf numFmtId="0" fontId="11" fillId="0" borderId="0" xfId="0" applyFont="1" applyFill="1"/>
    <xf numFmtId="3" fontId="11" fillId="0" borderId="4" xfId="0" applyNumberFormat="1" applyFont="1" applyFill="1" applyBorder="1"/>
    <xf numFmtId="3" fontId="0" fillId="2" borderId="4" xfId="0" applyNumberFormat="1" applyFill="1" applyBorder="1"/>
    <xf numFmtId="3" fontId="11" fillId="0" borderId="1" xfId="0" applyNumberFormat="1" applyFont="1" applyFill="1" applyBorder="1"/>
    <xf numFmtId="3" fontId="0" fillId="2" borderId="1" xfId="0" applyNumberFormat="1" applyFill="1" applyBorder="1"/>
    <xf numFmtId="3" fontId="11" fillId="0" borderId="2" xfId="0" applyNumberFormat="1" applyFont="1" applyFill="1" applyBorder="1"/>
    <xf numFmtId="3" fontId="0" fillId="2" borderId="2" xfId="0" applyNumberFormat="1" applyFill="1" applyBorder="1"/>
    <xf numFmtId="3" fontId="11" fillId="0" borderId="7" xfId="0" applyNumberFormat="1" applyFont="1" applyFill="1" applyBorder="1"/>
    <xf numFmtId="3" fontId="0" fillId="2" borderId="7" xfId="0" applyNumberFormat="1" applyFill="1" applyBorder="1"/>
    <xf numFmtId="3" fontId="11" fillId="0" borderId="8" xfId="0" applyNumberFormat="1" applyFont="1" applyFill="1" applyBorder="1"/>
    <xf numFmtId="3" fontId="0" fillId="2" borderId="8" xfId="0" applyNumberFormat="1" applyFill="1" applyBorder="1"/>
    <xf numFmtId="3" fontId="0" fillId="0" borderId="7" xfId="0" applyNumberFormat="1" applyFill="1" applyBorder="1"/>
    <xf numFmtId="3" fontId="0" fillId="0" borderId="1" xfId="0" applyNumberFormat="1" applyFill="1" applyBorder="1"/>
    <xf numFmtId="3" fontId="0" fillId="0" borderId="8" xfId="0" applyNumberFormat="1" applyFill="1" applyBorder="1"/>
    <xf numFmtId="3" fontId="4" fillId="0" borderId="7" xfId="0" applyNumberFormat="1" applyFont="1" applyFill="1" applyBorder="1"/>
    <xf numFmtId="3" fontId="12" fillId="0" borderId="1" xfId="0" applyNumberFormat="1" applyFont="1" applyFill="1" applyBorder="1"/>
    <xf numFmtId="3" fontId="10" fillId="0" borderId="1" xfId="0" applyNumberFormat="1" applyFont="1" applyFill="1" applyBorder="1"/>
    <xf numFmtId="3" fontId="10" fillId="0" borderId="8" xfId="0" applyNumberFormat="1" applyFont="1" applyFill="1" applyBorder="1"/>
    <xf numFmtId="0" fontId="10" fillId="0" borderId="0" xfId="0" applyFont="1"/>
    <xf numFmtId="3" fontId="10" fillId="0" borderId="0" xfId="0" applyNumberFormat="1" applyFont="1"/>
    <xf numFmtId="3" fontId="2" fillId="4" borderId="1" xfId="0" applyNumberFormat="1" applyFont="1" applyFill="1" applyBorder="1" applyAlignment="1">
      <alignment horizontal="center" vertical="center" wrapText="1"/>
    </xf>
    <xf numFmtId="17" fontId="0" fillId="4" borderId="4" xfId="0" applyNumberFormat="1" applyFill="1" applyBorder="1"/>
    <xf numFmtId="17" fontId="0" fillId="4" borderId="1" xfId="0" applyNumberFormat="1" applyFill="1" applyBorder="1"/>
    <xf numFmtId="3" fontId="9" fillId="4" borderId="1" xfId="0" applyNumberFormat="1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17" fontId="0" fillId="4" borderId="10" xfId="0" applyNumberForma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Fill="1"/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10" fillId="2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/>
    <xf numFmtId="169" fontId="10" fillId="0" borderId="0" xfId="1" applyNumberFormat="1" applyFont="1" applyFill="1"/>
    <xf numFmtId="4" fontId="0" fillId="0" borderId="0" xfId="0" applyNumberFormat="1" applyFill="1"/>
    <xf numFmtId="3" fontId="10" fillId="0" borderId="0" xfId="1" applyNumberFormat="1" applyFont="1" applyFill="1" applyAlignment="1">
      <alignment horizontal="center"/>
    </xf>
    <xf numFmtId="4" fontId="10" fillId="0" borderId="0" xfId="0" applyNumberFormat="1" applyFont="1" applyFill="1"/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168" fontId="10" fillId="0" borderId="0" xfId="0" applyNumberFormat="1" applyFont="1" applyAlignment="1">
      <alignment horizont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3" fillId="0" borderId="0" xfId="0" applyNumberFormat="1" applyFont="1"/>
    <xf numFmtId="1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/>
    <xf numFmtId="170" fontId="0" fillId="0" borderId="0" xfId="0" applyNumberFormat="1"/>
    <xf numFmtId="3" fontId="10" fillId="0" borderId="1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7" fontId="0" fillId="4" borderId="18" xfId="0" applyNumberFormat="1" applyFill="1" applyBorder="1"/>
    <xf numFmtId="3" fontId="0" fillId="0" borderId="19" xfId="0" applyNumberFormat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7" fontId="0" fillId="5" borderId="20" xfId="0" applyNumberFormat="1" applyFill="1" applyBorder="1"/>
    <xf numFmtId="3" fontId="3" fillId="5" borderId="1" xfId="0" applyNumberFormat="1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19" xfId="0" applyNumberForma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0" fontId="0" fillId="5" borderId="0" xfId="0" applyFill="1"/>
    <xf numFmtId="17" fontId="0" fillId="5" borderId="1" xfId="0" applyNumberFormat="1" applyFill="1" applyBorder="1"/>
    <xf numFmtId="3" fontId="0" fillId="6" borderId="0" xfId="0" applyNumberFormat="1" applyFill="1" applyAlignment="1"/>
    <xf numFmtId="1" fontId="0" fillId="6" borderId="0" xfId="0" applyNumberFormat="1" applyFill="1"/>
    <xf numFmtId="0" fontId="0" fillId="6" borderId="0" xfId="0" applyFill="1"/>
    <xf numFmtId="17" fontId="9" fillId="6" borderId="1" xfId="0" applyNumberFormat="1" applyFont="1" applyFill="1" applyBorder="1"/>
    <xf numFmtId="3" fontId="0" fillId="6" borderId="0" xfId="0" applyNumberFormat="1" applyFill="1" applyBorder="1"/>
    <xf numFmtId="3" fontId="0" fillId="6" borderId="0" xfId="0" applyNumberFormat="1" applyFill="1"/>
    <xf numFmtId="0" fontId="2" fillId="6" borderId="0" xfId="0" applyFont="1" applyFill="1" applyAlignment="1">
      <alignment horizontal="centerContinuous"/>
    </xf>
    <xf numFmtId="0" fontId="10" fillId="6" borderId="0" xfId="0" applyFont="1" applyFill="1" applyAlignment="1">
      <alignment horizontal="centerContinuous"/>
    </xf>
    <xf numFmtId="0" fontId="9" fillId="6" borderId="0" xfId="0" applyFont="1" applyFill="1" applyAlignment="1">
      <alignment horizontal="centerContinuous"/>
    </xf>
    <xf numFmtId="0" fontId="0" fillId="6" borderId="0" xfId="0" applyFill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horizontal="center" wrapText="1"/>
    </xf>
    <xf numFmtId="3" fontId="7" fillId="6" borderId="1" xfId="0" applyNumberFormat="1" applyFont="1" applyFill="1" applyBorder="1" applyAlignment="1">
      <alignment horizontal="center" wrapText="1"/>
    </xf>
    <xf numFmtId="17" fontId="0" fillId="6" borderId="1" xfId="0" applyNumberFormat="1" applyFill="1" applyBorder="1"/>
    <xf numFmtId="3" fontId="0" fillId="6" borderId="1" xfId="0" applyNumberFormat="1" applyFill="1" applyBorder="1"/>
    <xf numFmtId="166" fontId="0" fillId="6" borderId="0" xfId="0" applyNumberFormat="1" applyFill="1"/>
    <xf numFmtId="3" fontId="19" fillId="6" borderId="1" xfId="2" applyNumberFormat="1" applyFont="1" applyFill="1" applyBorder="1"/>
    <xf numFmtId="3" fontId="10" fillId="6" borderId="1" xfId="0" applyNumberFormat="1" applyFont="1" applyFill="1" applyBorder="1"/>
    <xf numFmtId="17" fontId="0" fillId="6" borderId="20" xfId="0" applyNumberFormat="1" applyFill="1" applyBorder="1"/>
    <xf numFmtId="3" fontId="14" fillId="6" borderId="1" xfId="0" applyNumberFormat="1" applyFont="1" applyFill="1" applyBorder="1"/>
    <xf numFmtId="17" fontId="0" fillId="6" borderId="0" xfId="0" applyNumberFormat="1" applyFill="1" applyBorder="1"/>
    <xf numFmtId="0" fontId="0" fillId="6" borderId="1" xfId="0" applyFill="1" applyBorder="1"/>
    <xf numFmtId="1" fontId="0" fillId="6" borderId="1" xfId="0" applyNumberFormat="1" applyFill="1" applyBorder="1"/>
    <xf numFmtId="167" fontId="0" fillId="6" borderId="1" xfId="0" applyNumberFormat="1" applyFill="1" applyBorder="1"/>
    <xf numFmtId="3" fontId="0" fillId="6" borderId="1" xfId="0" applyNumberFormat="1" applyFill="1" applyBorder="1" applyAlignment="1">
      <alignment horizontal="right"/>
    </xf>
    <xf numFmtId="168" fontId="0" fillId="6" borderId="1" xfId="0" applyNumberFormat="1" applyFill="1" applyBorder="1"/>
    <xf numFmtId="3" fontId="3" fillId="6" borderId="1" xfId="0" applyNumberFormat="1" applyFont="1" applyFill="1" applyBorder="1"/>
    <xf numFmtId="3" fontId="0" fillId="6" borderId="1" xfId="0" applyNumberFormat="1" applyFill="1" applyBorder="1" applyAlignment="1"/>
    <xf numFmtId="3" fontId="0" fillId="6" borderId="2" xfId="0" applyNumberFormat="1" applyFill="1" applyBorder="1"/>
    <xf numFmtId="3" fontId="0" fillId="6" borderId="16" xfId="0" applyNumberFormat="1" applyFill="1" applyBorder="1"/>
    <xf numFmtId="3" fontId="0" fillId="6" borderId="7" xfId="0" applyNumberFormat="1" applyFill="1" applyBorder="1"/>
    <xf numFmtId="3" fontId="0" fillId="6" borderId="21" xfId="0" applyNumberFormat="1" applyFill="1" applyBorder="1"/>
    <xf numFmtId="17" fontId="0" fillId="6" borderId="22" xfId="0" applyNumberFormat="1" applyFill="1" applyBorder="1"/>
    <xf numFmtId="3" fontId="0" fillId="6" borderId="17" xfId="0" applyNumberFormat="1" applyFill="1" applyBorder="1"/>
    <xf numFmtId="1" fontId="0" fillId="6" borderId="1" xfId="0" applyNumberFormat="1" applyFill="1" applyBorder="1" applyAlignment="1"/>
    <xf numFmtId="1" fontId="3" fillId="6" borderId="1" xfId="0" applyNumberFormat="1" applyFont="1" applyFill="1" applyBorder="1" applyAlignment="1"/>
    <xf numFmtId="17" fontId="9" fillId="6" borderId="2" xfId="0" applyNumberFormat="1" applyFont="1" applyFill="1" applyBorder="1"/>
    <xf numFmtId="17" fontId="9" fillId="7" borderId="1" xfId="0" applyNumberFormat="1" applyFont="1" applyFill="1" applyBorder="1"/>
    <xf numFmtId="4" fontId="0" fillId="6" borderId="1" xfId="0" applyNumberFormat="1" applyFill="1" applyBorder="1"/>
    <xf numFmtId="4" fontId="0" fillId="6" borderId="1" xfId="0" applyNumberFormat="1" applyFill="1" applyBorder="1" applyAlignment="1"/>
    <xf numFmtId="4" fontId="3" fillId="6" borderId="1" xfId="0" applyNumberFormat="1" applyFont="1" applyFill="1" applyBorder="1"/>
    <xf numFmtId="4" fontId="0" fillId="6" borderId="2" xfId="0" applyNumberFormat="1" applyFill="1" applyBorder="1"/>
    <xf numFmtId="4" fontId="0" fillId="6" borderId="2" xfId="0" applyNumberFormat="1" applyFill="1" applyBorder="1" applyAlignment="1"/>
    <xf numFmtId="4" fontId="0" fillId="7" borderId="1" xfId="0" applyNumberFormat="1" applyFill="1" applyBorder="1"/>
    <xf numFmtId="4" fontId="0" fillId="7" borderId="1" xfId="0" applyNumberFormat="1" applyFill="1" applyBorder="1" applyAlignment="1"/>
    <xf numFmtId="17" fontId="0" fillId="5" borderId="2" xfId="0" applyNumberFormat="1" applyFill="1" applyBorder="1"/>
    <xf numFmtId="3" fontId="3" fillId="5" borderId="2" xfId="0" applyNumberFormat="1" applyFont="1" applyFill="1" applyBorder="1" applyAlignment="1">
      <alignment horizontal="center"/>
    </xf>
    <xf numFmtId="2" fontId="0" fillId="6" borderId="0" xfId="0" applyNumberFormat="1" applyFill="1"/>
    <xf numFmtId="2" fontId="0" fillId="6" borderId="0" xfId="0" applyNumberFormat="1" applyFill="1" applyAlignment="1">
      <alignment horizontal="center"/>
    </xf>
    <xf numFmtId="1" fontId="0" fillId="8" borderId="0" xfId="0" applyNumberFormat="1" applyFill="1" applyBorder="1" applyAlignment="1">
      <alignment horizontal="center"/>
    </xf>
    <xf numFmtId="17" fontId="0" fillId="8" borderId="1" xfId="0" applyNumberFormat="1" applyFill="1" applyBorder="1"/>
    <xf numFmtId="3" fontId="23" fillId="8" borderId="1" xfId="0" applyNumberFormat="1" applyFont="1" applyFill="1" applyBorder="1" applyAlignment="1">
      <alignment horizontal="center"/>
    </xf>
    <xf numFmtId="3" fontId="10" fillId="8" borderId="13" xfId="0" applyNumberFormat="1" applyFont="1" applyFill="1" applyBorder="1" applyAlignment="1">
      <alignment horizontal="center"/>
    </xf>
    <xf numFmtId="0" fontId="0" fillId="8" borderId="0" xfId="0" applyFill="1"/>
    <xf numFmtId="0" fontId="0" fillId="5" borderId="0" xfId="0" applyFill="1" applyAlignment="1">
      <alignment horizontal="center"/>
    </xf>
    <xf numFmtId="4" fontId="0" fillId="7" borderId="1" xfId="0" quotePrefix="1" applyNumberFormat="1" applyFill="1" applyBorder="1" applyAlignment="1">
      <alignment horizontal="center"/>
    </xf>
    <xf numFmtId="3" fontId="6" fillId="9" borderId="1" xfId="0" applyNumberFormat="1" applyFont="1" applyFill="1" applyBorder="1" applyAlignment="1">
      <alignment horizontal="center" wrapText="1"/>
    </xf>
    <xf numFmtId="17" fontId="0" fillId="8" borderId="2" xfId="0" applyNumberFormat="1" applyFill="1" applyBorder="1"/>
    <xf numFmtId="3" fontId="23" fillId="8" borderId="2" xfId="0" applyNumberFormat="1" applyFont="1" applyFill="1" applyBorder="1" applyAlignment="1">
      <alignment horizontal="center"/>
    </xf>
    <xf numFmtId="3" fontId="10" fillId="8" borderId="23" xfId="0" applyNumberFormat="1" applyFont="1" applyFill="1" applyBorder="1" applyAlignment="1">
      <alignment horizontal="center"/>
    </xf>
    <xf numFmtId="3" fontId="23" fillId="10" borderId="1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/>
    <xf numFmtId="4" fontId="0" fillId="11" borderId="1" xfId="0" applyNumberFormat="1" applyFill="1" applyBorder="1"/>
    <xf numFmtId="4" fontId="3" fillId="11" borderId="1" xfId="0" quotePrefix="1" applyNumberFormat="1" applyFont="1" applyFill="1" applyBorder="1" applyAlignment="1">
      <alignment horizontal="center"/>
    </xf>
    <xf numFmtId="3" fontId="0" fillId="11" borderId="1" xfId="0" applyNumberFormat="1" applyFill="1" applyBorder="1"/>
    <xf numFmtId="3" fontId="0" fillId="11" borderId="0" xfId="0" applyNumberFormat="1" applyFill="1"/>
    <xf numFmtId="0" fontId="0" fillId="11" borderId="0" xfId="0" applyFill="1"/>
    <xf numFmtId="0" fontId="0" fillId="11" borderId="1" xfId="0" applyFill="1" applyBorder="1"/>
    <xf numFmtId="3" fontId="0" fillId="11" borderId="0" xfId="0" applyNumberFormat="1" applyFill="1" applyAlignment="1">
      <alignment horizontal="right"/>
    </xf>
    <xf numFmtId="0" fontId="0" fillId="11" borderId="1" xfId="0" applyFill="1" applyBorder="1" applyAlignment="1">
      <alignment horizontal="center"/>
    </xf>
    <xf numFmtId="0" fontId="0" fillId="11" borderId="0" xfId="0" applyFill="1" applyAlignment="1">
      <alignment horizontal="center"/>
    </xf>
    <xf numFmtId="3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3" fontId="0" fillId="11" borderId="1" xfId="0" applyNumberFormat="1" applyFill="1" applyBorder="1" applyAlignment="1">
      <alignment horizontal="right"/>
    </xf>
    <xf numFmtId="0" fontId="0" fillId="11" borderId="0" xfId="0" applyFill="1" applyAlignment="1">
      <alignment horizontal="right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4" fontId="3" fillId="11" borderId="1" xfId="0" quotePrefix="1" applyNumberFormat="1" applyFont="1" applyFill="1" applyBorder="1" applyAlignment="1">
      <alignment horizontal="right"/>
    </xf>
    <xf numFmtId="4" fontId="0" fillId="11" borderId="20" xfId="0" applyNumberFormat="1" applyFill="1" applyBorder="1" applyAlignment="1"/>
    <xf numFmtId="4" fontId="0" fillId="11" borderId="13" xfId="0" applyNumberFormat="1" applyFill="1" applyBorder="1" applyAlignment="1"/>
    <xf numFmtId="3" fontId="3" fillId="10" borderId="1" xfId="0" applyNumberFormat="1" applyFont="1" applyFill="1" applyBorder="1" applyAlignment="1">
      <alignment horizontal="center"/>
    </xf>
    <xf numFmtId="3" fontId="0" fillId="10" borderId="1" xfId="0" applyNumberFormat="1" applyFill="1" applyBorder="1" applyAlignment="1">
      <alignment horizontal="center"/>
    </xf>
    <xf numFmtId="17" fontId="0" fillId="10" borderId="1" xfId="0" applyNumberFormat="1" applyFill="1" applyBorder="1"/>
    <xf numFmtId="3" fontId="23" fillId="5" borderId="1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2" fontId="0" fillId="12" borderId="0" xfId="0" applyNumberFormat="1" applyFill="1" applyAlignment="1">
      <alignment horizontal="center"/>
    </xf>
    <xf numFmtId="17" fontId="9" fillId="12" borderId="1" xfId="0" applyNumberFormat="1" applyFont="1" applyFill="1" applyBorder="1" applyAlignment="1">
      <alignment horizontal="right"/>
    </xf>
    <xf numFmtId="0" fontId="0" fillId="12" borderId="0" xfId="0" applyFill="1"/>
    <xf numFmtId="3" fontId="0" fillId="12" borderId="0" xfId="0" applyNumberFormat="1" applyFill="1"/>
    <xf numFmtId="4" fontId="0" fillId="12" borderId="0" xfId="0" applyNumberFormat="1" applyFill="1"/>
    <xf numFmtId="3" fontId="0" fillId="12" borderId="2" xfId="0" applyNumberFormat="1" applyFill="1" applyBorder="1"/>
    <xf numFmtId="3" fontId="0" fillId="12" borderId="1" xfId="0" applyNumberFormat="1" applyFill="1" applyBorder="1" applyAlignment="1">
      <alignment horizontal="right"/>
    </xf>
    <xf numFmtId="0" fontId="24" fillId="6" borderId="0" xfId="0" applyFont="1" applyFill="1"/>
    <xf numFmtId="0" fontId="25" fillId="6" borderId="0" xfId="0" applyFont="1" applyFill="1" applyAlignment="1"/>
    <xf numFmtId="0" fontId="26" fillId="6" borderId="0" xfId="0" applyFont="1" applyFill="1" applyAlignment="1"/>
    <xf numFmtId="1" fontId="24" fillId="6" borderId="0" xfId="0" applyNumberFormat="1" applyFont="1" applyFill="1"/>
    <xf numFmtId="0" fontId="27" fillId="6" borderId="0" xfId="0" applyFont="1" applyFill="1"/>
    <xf numFmtId="0" fontId="24" fillId="6" borderId="0" xfId="0" applyFont="1" applyFill="1" applyBorder="1"/>
    <xf numFmtId="0" fontId="24" fillId="6" borderId="0" xfId="0" applyFont="1" applyFill="1" applyBorder="1" applyAlignment="1">
      <alignment horizontal="center" vertical="center"/>
    </xf>
    <xf numFmtId="0" fontId="26" fillId="6" borderId="0" xfId="0" applyFont="1" applyFill="1" applyBorder="1" applyAlignment="1"/>
    <xf numFmtId="0" fontId="28" fillId="6" borderId="0" xfId="0" applyFont="1" applyFill="1"/>
    <xf numFmtId="0" fontId="24" fillId="6" borderId="0" xfId="0" applyFont="1" applyFill="1" applyBorder="1" applyAlignment="1"/>
    <xf numFmtId="3" fontId="24" fillId="6" borderId="0" xfId="0" applyNumberFormat="1" applyFont="1" applyFill="1"/>
    <xf numFmtId="3" fontId="28" fillId="6" borderId="0" xfId="0" applyNumberFormat="1" applyFont="1" applyFill="1"/>
    <xf numFmtId="167" fontId="0" fillId="5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3" fontId="0" fillId="13" borderId="1" xfId="0" applyNumberFormat="1" applyFill="1" applyBorder="1" applyAlignment="1">
      <alignment horizontal="center"/>
    </xf>
    <xf numFmtId="169" fontId="22" fillId="13" borderId="1" xfId="1" applyNumberFormat="1" applyFont="1" applyFill="1" applyBorder="1"/>
    <xf numFmtId="3" fontId="0" fillId="6" borderId="1" xfId="0" applyNumberFormat="1" applyFill="1" applyBorder="1" applyAlignment="1">
      <alignment horizontal="center"/>
    </xf>
    <xf numFmtId="4" fontId="0" fillId="14" borderId="1" xfId="0" applyNumberFormat="1" applyFill="1" applyBorder="1"/>
    <xf numFmtId="0" fontId="0" fillId="14" borderId="1" xfId="0" applyFill="1" applyBorder="1" applyAlignment="1">
      <alignment horizontal="center"/>
    </xf>
    <xf numFmtId="2" fontId="0" fillId="14" borderId="1" xfId="0" applyNumberFormat="1" applyFill="1" applyBorder="1" applyAlignment="1">
      <alignment horizontal="center"/>
    </xf>
    <xf numFmtId="0" fontId="0" fillId="14" borderId="1" xfId="0" applyFill="1" applyBorder="1"/>
    <xf numFmtId="3" fontId="0" fillId="14" borderId="1" xfId="0" applyNumberFormat="1" applyFill="1" applyBorder="1"/>
    <xf numFmtId="3" fontId="0" fillId="6" borderId="0" xfId="0" applyNumberFormat="1" applyFill="1" applyAlignment="1">
      <alignment horizontal="center"/>
    </xf>
    <xf numFmtId="3" fontId="10" fillId="6" borderId="0" xfId="0" applyNumberFormat="1" applyFont="1" applyFill="1" applyAlignment="1">
      <alignment horizontal="center"/>
    </xf>
    <xf numFmtId="3" fontId="0" fillId="6" borderId="0" xfId="0" applyNumberFormat="1" applyFill="1" applyAlignment="1">
      <alignment horizontal="center" vertical="center"/>
    </xf>
    <xf numFmtId="3" fontId="9" fillId="6" borderId="0" xfId="0" applyNumberFormat="1" applyFont="1" applyFill="1" applyAlignment="1">
      <alignment horizontal="center"/>
    </xf>
    <xf numFmtId="3" fontId="0" fillId="12" borderId="1" xfId="0" applyNumberFormat="1" applyFill="1" applyBorder="1" applyAlignment="1">
      <alignment horizontal="center"/>
    </xf>
    <xf numFmtId="0" fontId="0" fillId="15" borderId="0" xfId="0" applyFill="1"/>
    <xf numFmtId="2" fontId="0" fillId="15" borderId="0" xfId="0" applyNumberFormat="1" applyFill="1" applyAlignment="1">
      <alignment horizontal="center"/>
    </xf>
    <xf numFmtId="17" fontId="9" fillId="15" borderId="1" xfId="0" applyNumberFormat="1" applyFont="1" applyFill="1" applyBorder="1" applyAlignment="1">
      <alignment horizontal="right"/>
    </xf>
    <xf numFmtId="0" fontId="0" fillId="15" borderId="1" xfId="0" applyFill="1" applyBorder="1"/>
    <xf numFmtId="3" fontId="0" fillId="16" borderId="1" xfId="0" applyNumberFormat="1" applyFill="1" applyBorder="1"/>
    <xf numFmtId="3" fontId="0" fillId="16" borderId="1" xfId="0" applyNumberFormat="1" applyFill="1" applyBorder="1" applyAlignment="1">
      <alignment horizontal="center"/>
    </xf>
    <xf numFmtId="3" fontId="0" fillId="16" borderId="0" xfId="0" applyNumberFormat="1" applyFill="1"/>
    <xf numFmtId="3" fontId="0" fillId="16" borderId="23" xfId="0" applyNumberFormat="1" applyFill="1" applyBorder="1"/>
    <xf numFmtId="3" fontId="0" fillId="16" borderId="2" xfId="0" applyNumberFormat="1" applyFill="1" applyBorder="1" applyAlignment="1">
      <alignment horizontal="center"/>
    </xf>
    <xf numFmtId="3" fontId="0" fillId="13" borderId="3" xfId="0" applyNumberFormat="1" applyFill="1" applyBorder="1" applyAlignment="1">
      <alignment horizontal="center"/>
    </xf>
    <xf numFmtId="2" fontId="0" fillId="17" borderId="0" xfId="0" applyNumberFormat="1" applyFill="1" applyAlignment="1">
      <alignment horizontal="center"/>
    </xf>
    <xf numFmtId="17" fontId="9" fillId="17" borderId="1" xfId="0" applyNumberFormat="1" applyFont="1" applyFill="1" applyBorder="1" applyAlignment="1">
      <alignment horizontal="right"/>
    </xf>
    <xf numFmtId="0" fontId="0" fillId="17" borderId="1" xfId="0" applyFill="1" applyBorder="1"/>
    <xf numFmtId="3" fontId="0" fillId="17" borderId="1" xfId="0" applyNumberFormat="1" applyFill="1" applyBorder="1"/>
    <xf numFmtId="3" fontId="0" fillId="17" borderId="1" xfId="0" applyNumberFormat="1" applyFill="1" applyBorder="1" applyAlignment="1">
      <alignment horizontal="center"/>
    </xf>
    <xf numFmtId="3" fontId="0" fillId="17" borderId="0" xfId="0" applyNumberFormat="1" applyFill="1"/>
    <xf numFmtId="2" fontId="0" fillId="17" borderId="0" xfId="0" applyNumberFormat="1" applyFill="1" applyBorder="1" applyAlignment="1">
      <alignment horizontal="center"/>
    </xf>
    <xf numFmtId="17" fontId="0" fillId="17" borderId="1" xfId="0" applyNumberFormat="1" applyFill="1" applyBorder="1"/>
    <xf numFmtId="169" fontId="22" fillId="17" borderId="1" xfId="1" applyNumberFormat="1" applyFont="1" applyFill="1" applyBorder="1"/>
    <xf numFmtId="0" fontId="0" fillId="17" borderId="0" xfId="0" applyFill="1"/>
    <xf numFmtId="3" fontId="0" fillId="17" borderId="3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17" fontId="9" fillId="5" borderId="1" xfId="0" applyNumberFormat="1" applyFont="1" applyFill="1" applyBorder="1" applyAlignment="1">
      <alignment horizontal="right"/>
    </xf>
    <xf numFmtId="3" fontId="0" fillId="5" borderId="1" xfId="0" applyNumberFormat="1" applyFill="1" applyBorder="1"/>
    <xf numFmtId="3" fontId="0" fillId="5" borderId="0" xfId="0" applyNumberFormat="1" applyFill="1"/>
    <xf numFmtId="169" fontId="22" fillId="5" borderId="1" xfId="1" applyNumberFormat="1" applyFont="1" applyFill="1" applyBorder="1"/>
    <xf numFmtId="3" fontId="0" fillId="17" borderId="2" xfId="0" applyNumberFormat="1" applyFill="1" applyBorder="1" applyAlignment="1">
      <alignment horizontal="center"/>
    </xf>
    <xf numFmtId="17" fontId="9" fillId="19" borderId="1" xfId="0" applyNumberFormat="1" applyFont="1" applyFill="1" applyBorder="1" applyAlignment="1">
      <alignment horizontal="right"/>
    </xf>
    <xf numFmtId="0" fontId="0" fillId="19" borderId="0" xfId="0" applyFill="1"/>
    <xf numFmtId="3" fontId="0" fillId="19" borderId="1" xfId="0" applyNumberFormat="1" applyFill="1" applyBorder="1"/>
    <xf numFmtId="2" fontId="0" fillId="19" borderId="0" xfId="0" applyNumberFormat="1" applyFill="1" applyBorder="1" applyAlignment="1">
      <alignment horizontal="center"/>
    </xf>
    <xf numFmtId="17" fontId="0" fillId="19" borderId="1" xfId="0" applyNumberFormat="1" applyFill="1" applyBorder="1"/>
    <xf numFmtId="3" fontId="0" fillId="19" borderId="3" xfId="0" applyNumberFormat="1" applyFill="1" applyBorder="1" applyAlignment="1">
      <alignment horizontal="center"/>
    </xf>
    <xf numFmtId="2" fontId="0" fillId="19" borderId="0" xfId="0" applyNumberFormat="1" applyFill="1" applyAlignment="1">
      <alignment horizontal="center"/>
    </xf>
    <xf numFmtId="3" fontId="0" fillId="19" borderId="0" xfId="0" applyNumberFormat="1" applyFill="1"/>
    <xf numFmtId="3" fontId="0" fillId="19" borderId="0" xfId="0" applyNumberFormat="1" applyFill="1" applyAlignment="1">
      <alignment horizontal="center"/>
    </xf>
    <xf numFmtId="3" fontId="0" fillId="19" borderId="1" xfId="0" applyNumberForma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4" fontId="0" fillId="6" borderId="20" xfId="0" applyNumberFormat="1" applyFill="1" applyBorder="1" applyAlignment="1">
      <alignment horizontal="center"/>
    </xf>
    <xf numFmtId="4" fontId="0" fillId="6" borderId="13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0" fillId="6" borderId="1" xfId="0" applyNumberFormat="1" applyFill="1" applyBorder="1" applyAlignment="1">
      <alignment horizontal="center" vertical="center"/>
    </xf>
    <xf numFmtId="4" fontId="0" fillId="7" borderId="20" xfId="0" applyNumberFormat="1" applyFill="1" applyBorder="1" applyAlignment="1">
      <alignment horizontal="center"/>
    </xf>
    <xf numFmtId="4" fontId="0" fillId="7" borderId="13" xfId="0" applyNumberForma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13" xfId="0" applyNumberFormat="1" applyFill="1" applyBorder="1" applyAlignment="1">
      <alignment horizontal="center"/>
    </xf>
    <xf numFmtId="4" fontId="0" fillId="6" borderId="22" xfId="0" applyNumberFormat="1" applyFill="1" applyBorder="1" applyAlignment="1">
      <alignment horizontal="center"/>
    </xf>
    <xf numFmtId="4" fontId="0" fillId="6" borderId="23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9" fillId="18" borderId="0" xfId="0" applyFont="1" applyFill="1" applyBorder="1" applyAlignment="1">
      <alignment horizontal="justify" wrapText="1"/>
    </xf>
    <xf numFmtId="0" fontId="24" fillId="18" borderId="0" xfId="0" applyFont="1" applyFill="1" applyBorder="1" applyAlignment="1">
      <alignment horizontal="justify" vertical="center" wrapText="1"/>
    </xf>
    <xf numFmtId="0" fontId="24" fillId="18" borderId="0" xfId="0" applyFont="1" applyFill="1" applyBorder="1" applyAlignment="1">
      <alignment horizontal="left" wrapText="1"/>
    </xf>
    <xf numFmtId="0" fontId="30" fillId="18" borderId="0" xfId="0" applyFont="1" applyFill="1" applyBorder="1" applyAlignment="1">
      <alignment horizontal="left" wrapText="1"/>
    </xf>
    <xf numFmtId="0" fontId="31" fillId="6" borderId="0" xfId="0" applyFont="1" applyFill="1" applyAlignment="1">
      <alignment horizontal="center" vertical="center" wrapText="1"/>
    </xf>
    <xf numFmtId="49" fontId="32" fillId="6" borderId="0" xfId="0" applyNumberFormat="1" applyFont="1" applyFill="1" applyBorder="1" applyAlignment="1">
      <alignment horizontal="justify" vertical="top" wrapText="1"/>
    </xf>
  </cellXfs>
  <cellStyles count="8">
    <cellStyle name="Millares" xfId="1" builtinId="3"/>
    <cellStyle name="Millares [0]" xfId="2" builtinId="6"/>
    <cellStyle name="Millares 2" xfId="7"/>
    <cellStyle name="Normal" xfId="0" builtinId="0"/>
    <cellStyle name="Normal 2" xfId="3"/>
    <cellStyle name="Normal 2 2" xfId="5"/>
    <cellStyle name="Normal 3" xfId="6"/>
    <cellStyle name="Porcentaj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MAPLE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C12-4A2D-B66F-8C9201748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3200"/>
        <c:axId val="1"/>
      </c:scatterChart>
      <c:valAx>
        <c:axId val="1359413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3200"/>
        <c:crosses val="autoZero"/>
        <c:crossBetween val="midCat"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OXYB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D72-40CB-B0EE-F2C6230E3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280"/>
        <c:axId val="1"/>
      </c:scatterChart>
      <c:valAx>
        <c:axId val="1359415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5280"/>
        <c:crosses val="autoZero"/>
        <c:crossBetween val="midCat"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FISCALIZADA PROMEDIO DE HIDROCARBUROS LÍQUIDOS* </a:t>
            </a:r>
          </a:p>
        </c:rich>
      </c:tx>
      <c:layout>
        <c:manualLayout>
          <c:xMode val="edge"/>
          <c:yMode val="edge"/>
          <c:x val="0.14187500225023311"/>
          <c:y val="2.21419332152858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7321531237267"/>
          <c:y val="0.17482444734743044"/>
          <c:w val="0.80305591825356204"/>
          <c:h val="0.66204438793708897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8575">
              <a:solidFill>
                <a:srgbClr val="00B050">
                  <a:alpha val="95000"/>
                </a:srgbClr>
              </a:solidFill>
            </a:ln>
          </c:spPr>
          <c:marker>
            <c:symbol val="none"/>
          </c:marker>
          <c:dLbls>
            <c:dLbl>
              <c:idx val="14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3C-4C44-A2B2-D4F55136027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oil (no)'!$C$200:$C$341</c:f>
              <c:numCache>
                <c:formatCode>0.00</c:formatCode>
                <c:ptCount val="142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  <c:pt idx="138">
                  <c:v>2021.5833223000163</c:v>
                </c:pt>
                <c:pt idx="139">
                  <c:v>2021.6666556000164</c:v>
                </c:pt>
                <c:pt idx="140">
                  <c:v>2021.7499889000164</c:v>
                </c:pt>
                <c:pt idx="141">
                  <c:v>2021.8333222000165</c:v>
                </c:pt>
              </c:numCache>
            </c:numRef>
          </c:xVal>
          <c:yVal>
            <c:numRef>
              <c:f>'ESTRUCTURA oil (no)'!$AI$200:$AI$341</c:f>
              <c:numCache>
                <c:formatCode>#,##0</c:formatCode>
                <c:ptCount val="142"/>
                <c:pt idx="0">
                  <c:v>153456.67741935485</c:v>
                </c:pt>
                <c:pt idx="1">
                  <c:v>160541.28571428574</c:v>
                </c:pt>
                <c:pt idx="2">
                  <c:v>155699.48387096776</c:v>
                </c:pt>
                <c:pt idx="3">
                  <c:v>156001.29999999999</c:v>
                </c:pt>
                <c:pt idx="4">
                  <c:v>154285.51612903224</c:v>
                </c:pt>
                <c:pt idx="5">
                  <c:v>155340.66666666669</c:v>
                </c:pt>
                <c:pt idx="6">
                  <c:v>157015.80645161291</c:v>
                </c:pt>
                <c:pt idx="7">
                  <c:v>157622.29032258064</c:v>
                </c:pt>
                <c:pt idx="8">
                  <c:v>162446.69999999998</c:v>
                </c:pt>
                <c:pt idx="9">
                  <c:v>159723.70967741933</c:v>
                </c:pt>
                <c:pt idx="10">
                  <c:v>155717.46666666667</c:v>
                </c:pt>
                <c:pt idx="11">
                  <c:v>158411</c:v>
                </c:pt>
                <c:pt idx="12">
                  <c:v>156234.22580645161</c:v>
                </c:pt>
                <c:pt idx="13">
                  <c:v>155175.17857142855</c:v>
                </c:pt>
                <c:pt idx="14">
                  <c:v>157641.32258064518</c:v>
                </c:pt>
                <c:pt idx="15">
                  <c:v>152807.83333333334</c:v>
                </c:pt>
                <c:pt idx="16">
                  <c:v>153939.45161290324</c:v>
                </c:pt>
                <c:pt idx="17">
                  <c:v>154672.89999999997</c:v>
                </c:pt>
                <c:pt idx="18">
                  <c:v>152642.16129032261</c:v>
                </c:pt>
                <c:pt idx="19">
                  <c:v>149885.06451612906</c:v>
                </c:pt>
                <c:pt idx="20">
                  <c:v>151573.13333333336</c:v>
                </c:pt>
                <c:pt idx="21">
                  <c:v>150680.74193548385</c:v>
                </c:pt>
                <c:pt idx="22">
                  <c:v>148361.63333333333</c:v>
                </c:pt>
                <c:pt idx="23">
                  <c:v>149100.03225806452</c:v>
                </c:pt>
                <c:pt idx="24">
                  <c:v>135643.64516129033</c:v>
                </c:pt>
                <c:pt idx="25">
                  <c:v>149609.41379310342</c:v>
                </c:pt>
                <c:pt idx="26">
                  <c:v>148570.16129032258</c:v>
                </c:pt>
                <c:pt idx="27">
                  <c:v>141006.56666666668</c:v>
                </c:pt>
                <c:pt idx="28">
                  <c:v>147064.64516129036</c:v>
                </c:pt>
                <c:pt idx="29">
                  <c:v>148027.83333333334</c:v>
                </c:pt>
                <c:pt idx="30">
                  <c:v>150115.83870967742</c:v>
                </c:pt>
                <c:pt idx="31">
                  <c:v>155960.16129032261</c:v>
                </c:pt>
                <c:pt idx="32">
                  <c:v>162728.83333333334</c:v>
                </c:pt>
                <c:pt idx="33">
                  <c:v>167784.38709677418</c:v>
                </c:pt>
                <c:pt idx="34">
                  <c:v>164753</c:v>
                </c:pt>
                <c:pt idx="35">
                  <c:v>164448.03225758066</c:v>
                </c:pt>
                <c:pt idx="36">
                  <c:v>165195.03225806452</c:v>
                </c:pt>
                <c:pt idx="37">
                  <c:v>173613.5</c:v>
                </c:pt>
                <c:pt idx="38">
                  <c:v>169959.064516129</c:v>
                </c:pt>
                <c:pt idx="39">
                  <c:v>170278.36666666667</c:v>
                </c:pt>
                <c:pt idx="40">
                  <c:v>170530.72580645158</c:v>
                </c:pt>
                <c:pt idx="41">
                  <c:v>172680.03333333335</c:v>
                </c:pt>
                <c:pt idx="42">
                  <c:v>164590.9032258064</c:v>
                </c:pt>
                <c:pt idx="43">
                  <c:v>170018.22580645158</c:v>
                </c:pt>
                <c:pt idx="44">
                  <c:v>164222.4666666667</c:v>
                </c:pt>
                <c:pt idx="45">
                  <c:v>150633.09677419357</c:v>
                </c:pt>
                <c:pt idx="46">
                  <c:v>170458.93333333335</c:v>
                </c:pt>
                <c:pt idx="47">
                  <c:v>168839.29032258064</c:v>
                </c:pt>
                <c:pt idx="48">
                  <c:v>156656.38709677418</c:v>
                </c:pt>
                <c:pt idx="49">
                  <c:v>174011.17857142852</c:v>
                </c:pt>
                <c:pt idx="50">
                  <c:v>180876.22580645164</c:v>
                </c:pt>
                <c:pt idx="51">
                  <c:v>177883.13333333336</c:v>
                </c:pt>
                <c:pt idx="52">
                  <c:v>173546.25806451609</c:v>
                </c:pt>
                <c:pt idx="53">
                  <c:v>168850</c:v>
                </c:pt>
                <c:pt idx="54">
                  <c:v>173862.77419354839</c:v>
                </c:pt>
                <c:pt idx="55">
                  <c:v>164313.61290322582</c:v>
                </c:pt>
                <c:pt idx="56">
                  <c:v>170951</c:v>
                </c:pt>
                <c:pt idx="57">
                  <c:v>180306</c:v>
                </c:pt>
                <c:pt idx="58">
                  <c:v>177652.8666666667</c:v>
                </c:pt>
                <c:pt idx="59">
                  <c:v>174124.19354838712</c:v>
                </c:pt>
                <c:pt idx="60">
                  <c:v>165788.54838709676</c:v>
                </c:pt>
                <c:pt idx="61">
                  <c:v>159202.10714285716</c:v>
                </c:pt>
                <c:pt idx="62">
                  <c:v>161142.12903225806</c:v>
                </c:pt>
                <c:pt idx="63">
                  <c:v>142610.26666666666</c:v>
                </c:pt>
                <c:pt idx="64">
                  <c:v>130234.48387096774</c:v>
                </c:pt>
                <c:pt idx="65">
                  <c:v>154053.86666666667</c:v>
                </c:pt>
                <c:pt idx="66">
                  <c:v>142514.54838709676</c:v>
                </c:pt>
                <c:pt idx="67">
                  <c:v>134295.70967741936</c:v>
                </c:pt>
                <c:pt idx="68">
                  <c:v>135102.43333333335</c:v>
                </c:pt>
                <c:pt idx="69">
                  <c:v>153327.45161290315</c:v>
                </c:pt>
                <c:pt idx="70">
                  <c:v>154074.76666666669</c:v>
                </c:pt>
                <c:pt idx="71">
                  <c:v>161081.51612867744</c:v>
                </c:pt>
                <c:pt idx="72">
                  <c:v>110986.38709677421</c:v>
                </c:pt>
                <c:pt idx="73">
                  <c:v>131534.58620689652</c:v>
                </c:pt>
                <c:pt idx="74">
                  <c:v>136439.87096774197</c:v>
                </c:pt>
                <c:pt idx="75">
                  <c:v>142185.83333333328</c:v>
                </c:pt>
                <c:pt idx="76">
                  <c:v>146461.32258064518</c:v>
                </c:pt>
                <c:pt idx="77">
                  <c:v>131272.9</c:v>
                </c:pt>
                <c:pt idx="78">
                  <c:v>143056.12903225803</c:v>
                </c:pt>
                <c:pt idx="79">
                  <c:v>143466.16129032261</c:v>
                </c:pt>
                <c:pt idx="80">
                  <c:v>128497.26666666666</c:v>
                </c:pt>
                <c:pt idx="81">
                  <c:v>131878.61290322579</c:v>
                </c:pt>
                <c:pt idx="82">
                  <c:v>136880.69999999998</c:v>
                </c:pt>
                <c:pt idx="83">
                  <c:v>138207.77419354839</c:v>
                </c:pt>
                <c:pt idx="84">
                  <c:v>134044.90322580645</c:v>
                </c:pt>
                <c:pt idx="85">
                  <c:v>136482</c:v>
                </c:pt>
                <c:pt idx="86">
                  <c:v>134270</c:v>
                </c:pt>
                <c:pt idx="87">
                  <c:v>128929</c:v>
                </c:pt>
                <c:pt idx="88">
                  <c:v>130741</c:v>
                </c:pt>
                <c:pt idx="89">
                  <c:v>137465</c:v>
                </c:pt>
                <c:pt idx="90">
                  <c:v>133467</c:v>
                </c:pt>
                <c:pt idx="91">
                  <c:v>145366</c:v>
                </c:pt>
                <c:pt idx="92">
                  <c:v>123825</c:v>
                </c:pt>
                <c:pt idx="93">
                  <c:v>131594</c:v>
                </c:pt>
                <c:pt idx="94">
                  <c:v>134376</c:v>
                </c:pt>
                <c:pt idx="95">
                  <c:v>141326</c:v>
                </c:pt>
                <c:pt idx="96">
                  <c:v>138374</c:v>
                </c:pt>
                <c:pt idx="97">
                  <c:v>101698</c:v>
                </c:pt>
                <c:pt idx="98">
                  <c:v>142289</c:v>
                </c:pt>
                <c:pt idx="99">
                  <c:v>144501</c:v>
                </c:pt>
                <c:pt idx="100">
                  <c:v>146765</c:v>
                </c:pt>
                <c:pt idx="101">
                  <c:v>137474</c:v>
                </c:pt>
                <c:pt idx="102">
                  <c:v>124379</c:v>
                </c:pt>
                <c:pt idx="103">
                  <c:v>108172</c:v>
                </c:pt>
                <c:pt idx="104">
                  <c:v>144198</c:v>
                </c:pt>
                <c:pt idx="105">
                  <c:v>138963</c:v>
                </c:pt>
                <c:pt idx="106">
                  <c:v>142919</c:v>
                </c:pt>
                <c:pt idx="107">
                  <c:v>140277</c:v>
                </c:pt>
                <c:pt idx="108">
                  <c:v>131290</c:v>
                </c:pt>
                <c:pt idx="109">
                  <c:v>142489</c:v>
                </c:pt>
                <c:pt idx="110">
                  <c:v>140094</c:v>
                </c:pt>
                <c:pt idx="111">
                  <c:v>129871</c:v>
                </c:pt>
                <c:pt idx="112">
                  <c:v>136208</c:v>
                </c:pt>
                <c:pt idx="113">
                  <c:v>136972</c:v>
                </c:pt>
                <c:pt idx="114">
                  <c:v>132067</c:v>
                </c:pt>
                <c:pt idx="115">
                  <c:v>142623</c:v>
                </c:pt>
                <c:pt idx="116">
                  <c:v>149391</c:v>
                </c:pt>
                <c:pt idx="117">
                  <c:v>138069</c:v>
                </c:pt>
                <c:pt idx="118">
                  <c:v>152710</c:v>
                </c:pt>
                <c:pt idx="119">
                  <c:v>145463</c:v>
                </c:pt>
                <c:pt idx="120">
                  <c:v>146235</c:v>
                </c:pt>
                <c:pt idx="121">
                  <c:v>151488</c:v>
                </c:pt>
                <c:pt idx="122">
                  <c:v>122861</c:v>
                </c:pt>
                <c:pt idx="123">
                  <c:v>119608</c:v>
                </c:pt>
                <c:pt idx="124">
                  <c:v>110530</c:v>
                </c:pt>
                <c:pt idx="125">
                  <c:v>114077</c:v>
                </c:pt>
                <c:pt idx="126">
                  <c:v>123381</c:v>
                </c:pt>
                <c:pt idx="127">
                  <c:v>119820</c:v>
                </c:pt>
                <c:pt idx="128">
                  <c:v>120007</c:v>
                </c:pt>
                <c:pt idx="129">
                  <c:v>122003</c:v>
                </c:pt>
                <c:pt idx="130">
                  <c:v>123907</c:v>
                </c:pt>
                <c:pt idx="131">
                  <c:v>122604</c:v>
                </c:pt>
                <c:pt idx="132">
                  <c:v>120525</c:v>
                </c:pt>
                <c:pt idx="133">
                  <c:v>120467</c:v>
                </c:pt>
                <c:pt idx="134">
                  <c:v>101910</c:v>
                </c:pt>
                <c:pt idx="135">
                  <c:v>104915</c:v>
                </c:pt>
                <c:pt idx="136">
                  <c:v>121522</c:v>
                </c:pt>
                <c:pt idx="137">
                  <c:v>121581</c:v>
                </c:pt>
                <c:pt idx="138">
                  <c:v>118549</c:v>
                </c:pt>
                <c:pt idx="139">
                  <c:v>121871</c:v>
                </c:pt>
                <c:pt idx="140">
                  <c:v>128286</c:v>
                </c:pt>
                <c:pt idx="141">
                  <c:v>129543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BB-41E9-B06C-0ABC15340ADE}"/>
            </c:ext>
          </c:extLst>
        </c:ser>
        <c:ser>
          <c:idx val="3"/>
          <c:order val="1"/>
          <c:tx>
            <c:v>PROMEDIO ANUAL</c:v>
          </c:tx>
          <c:spPr>
            <a:ln w="28575">
              <a:solidFill>
                <a:srgbClr val="FF6600"/>
              </a:solidFill>
              <a:prstDash val="sysDash"/>
            </a:ln>
          </c:spPr>
          <c:marker>
            <c:symbol val="none"/>
          </c:marker>
          <c:dLbls>
            <c:dLbl>
              <c:idx val="14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3C-4C44-A2B2-D4F55136027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oil (no)'!$C$200:$C$341</c:f>
              <c:numCache>
                <c:formatCode>0.00</c:formatCode>
                <c:ptCount val="142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  <c:pt idx="138">
                  <c:v>2021.5833223000163</c:v>
                </c:pt>
                <c:pt idx="139">
                  <c:v>2021.6666556000164</c:v>
                </c:pt>
                <c:pt idx="140">
                  <c:v>2021.7499889000164</c:v>
                </c:pt>
                <c:pt idx="141">
                  <c:v>2021.8333222000165</c:v>
                </c:pt>
              </c:numCache>
            </c:numRef>
          </c:xVal>
          <c:yVal>
            <c:numRef>
              <c:f>'ESTRUCTURA oil (no)'!$AJ$200:$AJ$341</c:f>
              <c:numCache>
                <c:formatCode>#,##0</c:formatCode>
                <c:ptCount val="142"/>
                <c:pt idx="0">
                  <c:v>157159</c:v>
                </c:pt>
                <c:pt idx="1">
                  <c:v>157159</c:v>
                </c:pt>
                <c:pt idx="2">
                  <c:v>157159</c:v>
                </c:pt>
                <c:pt idx="3">
                  <c:v>157159</c:v>
                </c:pt>
                <c:pt idx="4">
                  <c:v>157159</c:v>
                </c:pt>
                <c:pt idx="5">
                  <c:v>157159</c:v>
                </c:pt>
                <c:pt idx="6">
                  <c:v>157159</c:v>
                </c:pt>
                <c:pt idx="7">
                  <c:v>157159</c:v>
                </c:pt>
                <c:pt idx="8">
                  <c:v>157159</c:v>
                </c:pt>
                <c:pt idx="9">
                  <c:v>157159</c:v>
                </c:pt>
                <c:pt idx="10">
                  <c:v>157159</c:v>
                </c:pt>
                <c:pt idx="11">
                  <c:v>157159</c:v>
                </c:pt>
                <c:pt idx="12">
                  <c:v>152716</c:v>
                </c:pt>
                <c:pt idx="13">
                  <c:v>152716</c:v>
                </c:pt>
                <c:pt idx="14">
                  <c:v>152716</c:v>
                </c:pt>
                <c:pt idx="15">
                  <c:v>152716</c:v>
                </c:pt>
                <c:pt idx="16">
                  <c:v>152716</c:v>
                </c:pt>
                <c:pt idx="17">
                  <c:v>152716</c:v>
                </c:pt>
                <c:pt idx="18">
                  <c:v>152716</c:v>
                </c:pt>
                <c:pt idx="19">
                  <c:v>152716</c:v>
                </c:pt>
                <c:pt idx="20">
                  <c:v>152716</c:v>
                </c:pt>
                <c:pt idx="21">
                  <c:v>152716</c:v>
                </c:pt>
                <c:pt idx="22">
                  <c:v>152716</c:v>
                </c:pt>
                <c:pt idx="23">
                  <c:v>152716</c:v>
                </c:pt>
                <c:pt idx="24">
                  <c:v>152982</c:v>
                </c:pt>
                <c:pt idx="25">
                  <c:v>152982</c:v>
                </c:pt>
                <c:pt idx="26">
                  <c:v>152982</c:v>
                </c:pt>
                <c:pt idx="27">
                  <c:v>152982</c:v>
                </c:pt>
                <c:pt idx="28">
                  <c:v>152982</c:v>
                </c:pt>
                <c:pt idx="29">
                  <c:v>152982</c:v>
                </c:pt>
                <c:pt idx="30">
                  <c:v>152982</c:v>
                </c:pt>
                <c:pt idx="31">
                  <c:v>152982</c:v>
                </c:pt>
                <c:pt idx="32">
                  <c:v>152982</c:v>
                </c:pt>
                <c:pt idx="33">
                  <c:v>152982</c:v>
                </c:pt>
                <c:pt idx="34">
                  <c:v>152982</c:v>
                </c:pt>
                <c:pt idx="35">
                  <c:v>152982</c:v>
                </c:pt>
                <c:pt idx="36">
                  <c:v>167515</c:v>
                </c:pt>
                <c:pt idx="37">
                  <c:v>167515</c:v>
                </c:pt>
                <c:pt idx="38">
                  <c:v>167515</c:v>
                </c:pt>
                <c:pt idx="39">
                  <c:v>167515</c:v>
                </c:pt>
                <c:pt idx="40">
                  <c:v>167515</c:v>
                </c:pt>
                <c:pt idx="41">
                  <c:v>167515</c:v>
                </c:pt>
                <c:pt idx="42">
                  <c:v>167515</c:v>
                </c:pt>
                <c:pt idx="43">
                  <c:v>167515</c:v>
                </c:pt>
                <c:pt idx="44">
                  <c:v>167515</c:v>
                </c:pt>
                <c:pt idx="45">
                  <c:v>167515</c:v>
                </c:pt>
                <c:pt idx="46">
                  <c:v>167515</c:v>
                </c:pt>
                <c:pt idx="47">
                  <c:v>167515</c:v>
                </c:pt>
                <c:pt idx="48">
                  <c:v>172730.52328767124</c:v>
                </c:pt>
                <c:pt idx="49">
                  <c:v>172730.52328767124</c:v>
                </c:pt>
                <c:pt idx="50">
                  <c:v>172730.52328767124</c:v>
                </c:pt>
                <c:pt idx="51">
                  <c:v>172730.52328767124</c:v>
                </c:pt>
                <c:pt idx="52">
                  <c:v>172730.52328767124</c:v>
                </c:pt>
                <c:pt idx="53">
                  <c:v>172730.52328767124</c:v>
                </c:pt>
                <c:pt idx="54">
                  <c:v>172730.52328767124</c:v>
                </c:pt>
                <c:pt idx="55">
                  <c:v>172730.52328767124</c:v>
                </c:pt>
                <c:pt idx="56">
                  <c:v>172730.52328767124</c:v>
                </c:pt>
                <c:pt idx="57">
                  <c:v>172730.52328767124</c:v>
                </c:pt>
                <c:pt idx="58">
                  <c:v>172730.52328767124</c:v>
                </c:pt>
                <c:pt idx="59">
                  <c:v>172730.52328767124</c:v>
                </c:pt>
                <c:pt idx="60">
                  <c:v>149405</c:v>
                </c:pt>
                <c:pt idx="61">
                  <c:v>149405</c:v>
                </c:pt>
                <c:pt idx="62">
                  <c:v>149405</c:v>
                </c:pt>
                <c:pt idx="63">
                  <c:v>149405</c:v>
                </c:pt>
                <c:pt idx="64">
                  <c:v>149405</c:v>
                </c:pt>
                <c:pt idx="65">
                  <c:v>149405</c:v>
                </c:pt>
                <c:pt idx="66">
                  <c:v>149405</c:v>
                </c:pt>
                <c:pt idx="67">
                  <c:v>149405</c:v>
                </c:pt>
                <c:pt idx="68">
                  <c:v>149405</c:v>
                </c:pt>
                <c:pt idx="69">
                  <c:v>149405</c:v>
                </c:pt>
                <c:pt idx="70">
                  <c:v>149405</c:v>
                </c:pt>
                <c:pt idx="71">
                  <c:v>149405</c:v>
                </c:pt>
                <c:pt idx="72">
                  <c:v>135096</c:v>
                </c:pt>
                <c:pt idx="73">
                  <c:v>135096</c:v>
                </c:pt>
                <c:pt idx="74">
                  <c:v>135096</c:v>
                </c:pt>
                <c:pt idx="75">
                  <c:v>135096</c:v>
                </c:pt>
                <c:pt idx="76">
                  <c:v>135096</c:v>
                </c:pt>
                <c:pt idx="77">
                  <c:v>135096</c:v>
                </c:pt>
                <c:pt idx="78">
                  <c:v>135096</c:v>
                </c:pt>
                <c:pt idx="79">
                  <c:v>135096</c:v>
                </c:pt>
                <c:pt idx="80">
                  <c:v>135096</c:v>
                </c:pt>
                <c:pt idx="81">
                  <c:v>135096</c:v>
                </c:pt>
                <c:pt idx="82">
                  <c:v>135096</c:v>
                </c:pt>
                <c:pt idx="83">
                  <c:v>135096</c:v>
                </c:pt>
                <c:pt idx="84">
                  <c:v>134341</c:v>
                </c:pt>
                <c:pt idx="85">
                  <c:v>134341</c:v>
                </c:pt>
                <c:pt idx="86">
                  <c:v>134341</c:v>
                </c:pt>
                <c:pt idx="87">
                  <c:v>134341</c:v>
                </c:pt>
                <c:pt idx="88">
                  <c:v>134341</c:v>
                </c:pt>
                <c:pt idx="89">
                  <c:v>134341</c:v>
                </c:pt>
                <c:pt idx="90">
                  <c:v>134341</c:v>
                </c:pt>
                <c:pt idx="91">
                  <c:v>134341</c:v>
                </c:pt>
                <c:pt idx="92">
                  <c:v>134341</c:v>
                </c:pt>
                <c:pt idx="93">
                  <c:v>134341</c:v>
                </c:pt>
                <c:pt idx="94">
                  <c:v>134341</c:v>
                </c:pt>
                <c:pt idx="95">
                  <c:v>134341</c:v>
                </c:pt>
                <c:pt idx="96">
                  <c:v>132205</c:v>
                </c:pt>
                <c:pt idx="97">
                  <c:v>132205</c:v>
                </c:pt>
                <c:pt idx="98">
                  <c:v>132205</c:v>
                </c:pt>
                <c:pt idx="99">
                  <c:v>132205</c:v>
                </c:pt>
                <c:pt idx="100">
                  <c:v>132205</c:v>
                </c:pt>
                <c:pt idx="101">
                  <c:v>132205</c:v>
                </c:pt>
                <c:pt idx="102">
                  <c:v>132205</c:v>
                </c:pt>
                <c:pt idx="103">
                  <c:v>132205</c:v>
                </c:pt>
                <c:pt idx="104">
                  <c:v>132205</c:v>
                </c:pt>
                <c:pt idx="105">
                  <c:v>132205</c:v>
                </c:pt>
                <c:pt idx="106">
                  <c:v>132205</c:v>
                </c:pt>
                <c:pt idx="107">
                  <c:v>132205</c:v>
                </c:pt>
                <c:pt idx="108">
                  <c:v>139721</c:v>
                </c:pt>
                <c:pt idx="109">
                  <c:v>139721</c:v>
                </c:pt>
                <c:pt idx="110">
                  <c:v>139721</c:v>
                </c:pt>
                <c:pt idx="111">
                  <c:v>139721</c:v>
                </c:pt>
                <c:pt idx="112">
                  <c:v>139721</c:v>
                </c:pt>
                <c:pt idx="113">
                  <c:v>139721</c:v>
                </c:pt>
                <c:pt idx="114">
                  <c:v>139721</c:v>
                </c:pt>
                <c:pt idx="115">
                  <c:v>139721</c:v>
                </c:pt>
                <c:pt idx="116">
                  <c:v>139721</c:v>
                </c:pt>
                <c:pt idx="117">
                  <c:v>139721</c:v>
                </c:pt>
                <c:pt idx="118">
                  <c:v>139721</c:v>
                </c:pt>
                <c:pt idx="119">
                  <c:v>139721</c:v>
                </c:pt>
                <c:pt idx="120">
                  <c:v>124622</c:v>
                </c:pt>
                <c:pt idx="121">
                  <c:v>124622</c:v>
                </c:pt>
                <c:pt idx="122">
                  <c:v>124622</c:v>
                </c:pt>
                <c:pt idx="123">
                  <c:v>124622</c:v>
                </c:pt>
                <c:pt idx="124">
                  <c:v>124622</c:v>
                </c:pt>
                <c:pt idx="125">
                  <c:v>124622</c:v>
                </c:pt>
                <c:pt idx="126">
                  <c:v>124622</c:v>
                </c:pt>
                <c:pt idx="127">
                  <c:v>124622</c:v>
                </c:pt>
                <c:pt idx="128">
                  <c:v>124622</c:v>
                </c:pt>
                <c:pt idx="129">
                  <c:v>124622</c:v>
                </c:pt>
                <c:pt idx="130">
                  <c:v>124622</c:v>
                </c:pt>
                <c:pt idx="131">
                  <c:v>124622</c:v>
                </c:pt>
                <c:pt idx="132">
                  <c:v>118908</c:v>
                </c:pt>
                <c:pt idx="133">
                  <c:v>118908</c:v>
                </c:pt>
                <c:pt idx="134">
                  <c:v>118908</c:v>
                </c:pt>
                <c:pt idx="135">
                  <c:v>118908</c:v>
                </c:pt>
                <c:pt idx="136">
                  <c:v>118908</c:v>
                </c:pt>
                <c:pt idx="137">
                  <c:v>118908</c:v>
                </c:pt>
                <c:pt idx="138">
                  <c:v>118908</c:v>
                </c:pt>
                <c:pt idx="139">
                  <c:v>118908</c:v>
                </c:pt>
                <c:pt idx="140">
                  <c:v>118908</c:v>
                </c:pt>
                <c:pt idx="141">
                  <c:v>118908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BB-41E9-B06C-0ABC15340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696"/>
        <c:axId val="1"/>
      </c:scatterChart>
      <c:valAx>
        <c:axId val="1359415696"/>
        <c:scaling>
          <c:orientation val="minMax"/>
          <c:max val="2021.94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90000"/>
          <c:min val="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 </a:t>
                </a:r>
              </a:p>
            </c:rich>
          </c:tx>
          <c:layout>
            <c:manualLayout>
              <c:xMode val="edge"/>
              <c:yMode val="edge"/>
              <c:x val="5.3585873756236531E-2"/>
              <c:y val="8.0787794436033941E-2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15696"/>
        <c:crossesAt val="1995"/>
        <c:crossBetween val="midCat"/>
        <c:majorUnit val="10000"/>
        <c:minorUnit val="300"/>
      </c:valAx>
      <c:spPr>
        <a:solidFill>
          <a:schemeClr val="bg2"/>
        </a:solidFill>
      </c:spPr>
    </c:plotArea>
    <c:legend>
      <c:legendPos val="r"/>
      <c:layout>
        <c:manualLayout>
          <c:xMode val="edge"/>
          <c:yMode val="edge"/>
          <c:x val="0.10014019852456714"/>
          <c:y val="0.93664921071468943"/>
          <c:w val="0.78328879671934015"/>
          <c:h val="4.69497293699531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 FISCALIZADA  PROMEDIO DE GAS NATURAL </a:t>
            </a:r>
          </a:p>
        </c:rich>
      </c:tx>
      <c:layout>
        <c:manualLayout>
          <c:xMode val="edge"/>
          <c:yMode val="edge"/>
          <c:x val="0.15589592854026763"/>
          <c:y val="4.95100401606425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6139526676813"/>
          <c:y val="0.15731668024255588"/>
          <c:w val="0.81975369898962491"/>
          <c:h val="0.67857216815639843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Pt>
            <c:idx val="38"/>
            <c:marker>
              <c:symbol val="diamond"/>
              <c:size val="3"/>
            </c:marker>
            <c:bubble3D val="0"/>
            <c:extLst>
              <c:ext xmlns:c16="http://schemas.microsoft.com/office/drawing/2014/chart" uri="{C3380CC4-5D6E-409C-BE32-E72D297353CC}">
                <c16:uniqueId val="{00000001-0B43-4EE1-90F6-F2C383C1DDC5}"/>
              </c:ext>
            </c:extLst>
          </c:dPt>
          <c:dLbls>
            <c:dLbl>
              <c:idx val="14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3A6-4936-B751-38BACD6888D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gas (no)'!$B$197:$B$338</c:f>
              <c:numCache>
                <c:formatCode>0</c:formatCode>
                <c:ptCount val="142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  <c:pt idx="138" formatCode="0.00">
                  <c:v>2021.5833223000145</c:v>
                </c:pt>
                <c:pt idx="139" formatCode="0.00">
                  <c:v>2021.6666556000146</c:v>
                </c:pt>
                <c:pt idx="140" formatCode="0.00">
                  <c:v>2021.7499889000146</c:v>
                </c:pt>
                <c:pt idx="141" formatCode="0.00">
                  <c:v>2021.8333222000147</c:v>
                </c:pt>
              </c:numCache>
            </c:numRef>
          </c:xVal>
          <c:yVal>
            <c:numRef>
              <c:f>'ESTRUCTURA gas (no)'!$N$197:$N$338</c:f>
              <c:numCache>
                <c:formatCode>#,##0</c:formatCode>
                <c:ptCount val="142"/>
                <c:pt idx="0">
                  <c:v>358627.64554838702</c:v>
                </c:pt>
                <c:pt idx="1">
                  <c:v>382374.71672857139</c:v>
                </c:pt>
                <c:pt idx="2">
                  <c:v>382220.46809032263</c:v>
                </c:pt>
                <c:pt idx="3">
                  <c:v>358234.69937333337</c:v>
                </c:pt>
                <c:pt idx="4">
                  <c:v>438202.67465483869</c:v>
                </c:pt>
                <c:pt idx="5">
                  <c:v>700877.01615000004</c:v>
                </c:pt>
                <c:pt idx="6">
                  <c:v>795997.58982580632</c:v>
                </c:pt>
                <c:pt idx="7">
                  <c:v>991488.62159999995</c:v>
                </c:pt>
                <c:pt idx="8">
                  <c:v>900604.15757666668</c:v>
                </c:pt>
                <c:pt idx="9">
                  <c:v>984318.21090322582</c:v>
                </c:pt>
                <c:pt idx="10">
                  <c:v>1077438.4252366666</c:v>
                </c:pt>
                <c:pt idx="11">
                  <c:v>1010052.4140677419</c:v>
                </c:pt>
                <c:pt idx="12">
                  <c:v>1020062.7718999999</c:v>
                </c:pt>
                <c:pt idx="13">
                  <c:v>1068669.7146285714</c:v>
                </c:pt>
                <c:pt idx="14">
                  <c:v>779592.91896129039</c:v>
                </c:pt>
                <c:pt idx="15">
                  <c:v>1034488.74642</c:v>
                </c:pt>
                <c:pt idx="16">
                  <c:v>1111928.2332000001</c:v>
                </c:pt>
                <c:pt idx="17">
                  <c:v>1065438.64383</c:v>
                </c:pt>
                <c:pt idx="18">
                  <c:v>1165948.4785064517</c:v>
                </c:pt>
                <c:pt idx="19">
                  <c:v>1221097.7096774192</c:v>
                </c:pt>
                <c:pt idx="20">
                  <c:v>1177139.2333333334</c:v>
                </c:pt>
                <c:pt idx="21">
                  <c:v>1201184.1935483871</c:v>
                </c:pt>
                <c:pt idx="22">
                  <c:v>1183811.9666666666</c:v>
                </c:pt>
                <c:pt idx="23">
                  <c:v>1158905.5161290322</c:v>
                </c:pt>
                <c:pt idx="24">
                  <c:v>1005231.5486000001</c:v>
                </c:pt>
                <c:pt idx="25">
                  <c:v>1147450.0326206896</c:v>
                </c:pt>
                <c:pt idx="26">
                  <c:v>1173210.3774612902</c:v>
                </c:pt>
                <c:pt idx="27">
                  <c:v>1089538.9046666669</c:v>
                </c:pt>
                <c:pt idx="28">
                  <c:v>1155256.8387096773</c:v>
                </c:pt>
                <c:pt idx="29">
                  <c:v>1263040.9206666665</c:v>
                </c:pt>
                <c:pt idx="30">
                  <c:v>1275361.1223999998</c:v>
                </c:pt>
                <c:pt idx="31">
                  <c:v>1236067.0985483869</c:v>
                </c:pt>
                <c:pt idx="32">
                  <c:v>1257705.4482766667</c:v>
                </c:pt>
                <c:pt idx="33">
                  <c:v>1189109.7610354838</c:v>
                </c:pt>
                <c:pt idx="34">
                  <c:v>829585.17920000001</c:v>
                </c:pt>
                <c:pt idx="35">
                  <c:v>1105201.4856451612</c:v>
                </c:pt>
                <c:pt idx="36">
                  <c:v>1106908.1366258066</c:v>
                </c:pt>
                <c:pt idx="37">
                  <c:v>1150987.6158964287</c:v>
                </c:pt>
                <c:pt idx="38">
                  <c:v>1088732.5139290323</c:v>
                </c:pt>
                <c:pt idx="39">
                  <c:v>1120433.6716666666</c:v>
                </c:pt>
                <c:pt idx="40">
                  <c:v>1215693.6374193549</c:v>
                </c:pt>
                <c:pt idx="41">
                  <c:v>1193532.6116666666</c:v>
                </c:pt>
                <c:pt idx="42">
                  <c:v>1148883.7158064514</c:v>
                </c:pt>
                <c:pt idx="43">
                  <c:v>1269350.0551612903</c:v>
                </c:pt>
                <c:pt idx="44">
                  <c:v>1239903.2396666668</c:v>
                </c:pt>
                <c:pt idx="45">
                  <c:v>1218599.9822580644</c:v>
                </c:pt>
                <c:pt idx="46">
                  <c:v>1214291.0726666665</c:v>
                </c:pt>
                <c:pt idx="47">
                  <c:v>1186885.0792903225</c:v>
                </c:pt>
                <c:pt idx="48">
                  <c:v>1182989.9674193549</c:v>
                </c:pt>
                <c:pt idx="49">
                  <c:v>1230551.1860714285</c:v>
                </c:pt>
                <c:pt idx="50">
                  <c:v>1298397.7416129033</c:v>
                </c:pt>
                <c:pt idx="51">
                  <c:v>1256754.6726666666</c:v>
                </c:pt>
                <c:pt idx="52">
                  <c:v>1174131.5496774195</c:v>
                </c:pt>
                <c:pt idx="53">
                  <c:v>1113205</c:v>
                </c:pt>
                <c:pt idx="54">
                  <c:v>1278965.3870967743</c:v>
                </c:pt>
                <c:pt idx="55">
                  <c:v>1252423.3018999998</c:v>
                </c:pt>
                <c:pt idx="56">
                  <c:v>1221616</c:v>
                </c:pt>
                <c:pt idx="57">
                  <c:v>1343678</c:v>
                </c:pt>
                <c:pt idx="58">
                  <c:v>1344885</c:v>
                </c:pt>
                <c:pt idx="59">
                  <c:v>1303533.451612903</c:v>
                </c:pt>
                <c:pt idx="60">
                  <c:v>1233309.9032258063</c:v>
                </c:pt>
                <c:pt idx="61">
                  <c:v>1235733.75</c:v>
                </c:pt>
                <c:pt idx="62">
                  <c:v>1252104.5806451612</c:v>
                </c:pt>
                <c:pt idx="63">
                  <c:v>1153490.96845</c:v>
                </c:pt>
                <c:pt idx="64">
                  <c:v>1025056.9677419355</c:v>
                </c:pt>
                <c:pt idx="65">
                  <c:v>1351609.9333333331</c:v>
                </c:pt>
                <c:pt idx="66">
                  <c:v>1225001.4516129033</c:v>
                </c:pt>
                <c:pt idx="67">
                  <c:v>917233.74193548388</c:v>
                </c:pt>
                <c:pt idx="68">
                  <c:v>1066497.8676666669</c:v>
                </c:pt>
                <c:pt idx="69">
                  <c:v>1372026.7996774197</c:v>
                </c:pt>
                <c:pt idx="70">
                  <c:v>1353317.1333333333</c:v>
                </c:pt>
                <c:pt idx="71">
                  <c:v>1326580.8709677418</c:v>
                </c:pt>
                <c:pt idx="72">
                  <c:v>998675.32258064509</c:v>
                </c:pt>
                <c:pt idx="73">
                  <c:v>1063225.9688103448</c:v>
                </c:pt>
                <c:pt idx="74">
                  <c:v>1297819.6733774194</c:v>
                </c:pt>
                <c:pt idx="75">
                  <c:v>1313613.8666666669</c:v>
                </c:pt>
                <c:pt idx="76">
                  <c:v>1446528.1612903227</c:v>
                </c:pt>
                <c:pt idx="77">
                  <c:v>1326088.9666666666</c:v>
                </c:pt>
                <c:pt idx="78">
                  <c:v>1512372</c:v>
                </c:pt>
                <c:pt idx="79">
                  <c:v>1468104.5245903225</c:v>
                </c:pt>
                <c:pt idx="80">
                  <c:v>1391000.0528499999</c:v>
                </c:pt>
                <c:pt idx="81">
                  <c:v>1400096.4323354836</c:v>
                </c:pt>
                <c:pt idx="82">
                  <c:v>1534268.6860233333</c:v>
                </c:pt>
                <c:pt idx="83">
                  <c:v>1445701.7787677422</c:v>
                </c:pt>
                <c:pt idx="84">
                  <c:v>1223514.5233741936</c:v>
                </c:pt>
                <c:pt idx="85">
                  <c:v>1177591.9728999999</c:v>
                </c:pt>
                <c:pt idx="86">
                  <c:v>1204775.2013000001</c:v>
                </c:pt>
                <c:pt idx="87">
                  <c:v>1143093.7067</c:v>
                </c:pt>
                <c:pt idx="88">
                  <c:v>1160523.6394</c:v>
                </c:pt>
                <c:pt idx="89">
                  <c:v>1263196.8907000001</c:v>
                </c:pt>
                <c:pt idx="90">
                  <c:v>1160740.9856</c:v>
                </c:pt>
                <c:pt idx="91">
                  <c:v>1370849.5386000001</c:v>
                </c:pt>
                <c:pt idx="92">
                  <c:v>1273395.6904</c:v>
                </c:pt>
                <c:pt idx="93">
                  <c:v>1344459.2986000001</c:v>
                </c:pt>
                <c:pt idx="94">
                  <c:v>1377579.1163999999</c:v>
                </c:pt>
                <c:pt idx="95">
                  <c:v>1320929.9458000001</c:v>
                </c:pt>
                <c:pt idx="96">
                  <c:v>1139326.3817</c:v>
                </c:pt>
                <c:pt idx="97">
                  <c:v>849299.34869999997</c:v>
                </c:pt>
                <c:pt idx="98">
                  <c:v>1163361.3285000001</c:v>
                </c:pt>
                <c:pt idx="99">
                  <c:v>1218079</c:v>
                </c:pt>
                <c:pt idx="100">
                  <c:v>1295738.0527999999</c:v>
                </c:pt>
                <c:pt idx="101">
                  <c:v>1403484.5903</c:v>
                </c:pt>
                <c:pt idx="102">
                  <c:v>1300729.2075</c:v>
                </c:pt>
                <c:pt idx="103">
                  <c:v>953869.47360000003</c:v>
                </c:pt>
                <c:pt idx="104">
                  <c:v>1432568.3633000001</c:v>
                </c:pt>
                <c:pt idx="105">
                  <c:v>1205642.645</c:v>
                </c:pt>
                <c:pt idx="106">
                  <c:v>1374884.0149000001</c:v>
                </c:pt>
                <c:pt idx="107">
                  <c:v>1412080.9691999999</c:v>
                </c:pt>
                <c:pt idx="108">
                  <c:v>1315946.6183</c:v>
                </c:pt>
                <c:pt idx="109">
                  <c:v>1264159.3536</c:v>
                </c:pt>
                <c:pt idx="110">
                  <c:v>1194725.7082</c:v>
                </c:pt>
                <c:pt idx="111">
                  <c:v>1119085.7704</c:v>
                </c:pt>
                <c:pt idx="112">
                  <c:v>1085771.1066000001</c:v>
                </c:pt>
                <c:pt idx="113">
                  <c:v>1121341.1847999999</c:v>
                </c:pt>
                <c:pt idx="114">
                  <c:v>1340583.2339999999</c:v>
                </c:pt>
                <c:pt idx="115">
                  <c:v>1509143.8178999999</c:v>
                </c:pt>
                <c:pt idx="116">
                  <c:v>1555960.2551</c:v>
                </c:pt>
                <c:pt idx="117">
                  <c:v>1419451.6309</c:v>
                </c:pt>
                <c:pt idx="118">
                  <c:v>1418369.9405</c:v>
                </c:pt>
                <c:pt idx="119">
                  <c:v>1243898</c:v>
                </c:pt>
                <c:pt idx="120">
                  <c:v>1211720.6916</c:v>
                </c:pt>
                <c:pt idx="121">
                  <c:v>1249771.6869000001</c:v>
                </c:pt>
                <c:pt idx="122">
                  <c:v>903310.04</c:v>
                </c:pt>
                <c:pt idx="123">
                  <c:v>790178.82979999995</c:v>
                </c:pt>
                <c:pt idx="124">
                  <c:v>845915.21279999998</c:v>
                </c:pt>
                <c:pt idx="125">
                  <c:v>832774.50080000004</c:v>
                </c:pt>
                <c:pt idx="126">
                  <c:v>1346101.4935000001</c:v>
                </c:pt>
                <c:pt idx="127">
                  <c:v>1298655.1540000001</c:v>
                </c:pt>
                <c:pt idx="128">
                  <c:v>1342976.2357000001</c:v>
                </c:pt>
                <c:pt idx="129">
                  <c:v>1254828.3513</c:v>
                </c:pt>
                <c:pt idx="130">
                  <c:v>1490754.6924000001</c:v>
                </c:pt>
                <c:pt idx="131">
                  <c:v>1361515.5016000001</c:v>
                </c:pt>
                <c:pt idx="132">
                  <c:v>1150031.7105</c:v>
                </c:pt>
                <c:pt idx="133">
                  <c:v>1172289.7331000001</c:v>
                </c:pt>
                <c:pt idx="134">
                  <c:v>1067744.5911999999</c:v>
                </c:pt>
                <c:pt idx="135">
                  <c:v>871274.07209999999</c:v>
                </c:pt>
                <c:pt idx="136">
                  <c:v>780865.31420000002</c:v>
                </c:pt>
                <c:pt idx="137">
                  <c:v>1068128.4027199999</c:v>
                </c:pt>
                <c:pt idx="138">
                  <c:v>823834.10470000003</c:v>
                </c:pt>
                <c:pt idx="139">
                  <c:v>850929.25430000003</c:v>
                </c:pt>
                <c:pt idx="140">
                  <c:v>1273570.5607</c:v>
                </c:pt>
                <c:pt idx="141">
                  <c:v>1367318.6091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43-4EE1-90F6-F2C383C1DDC5}"/>
            </c:ext>
          </c:extLst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0B43-4EE1-90F6-F2C383C1DDC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7-0B43-4EE1-90F6-F2C383C1DDC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9-0B43-4EE1-90F6-F2C383C1DDC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B-0B43-4EE1-90F6-F2C383C1DDC5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D-0B43-4EE1-90F6-F2C383C1DDC5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F-0B43-4EE1-90F6-F2C383C1DDC5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11-0B43-4EE1-90F6-F2C383C1DDC5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3-0B43-4EE1-90F6-F2C383C1DDC5}"/>
              </c:ext>
            </c:extLst>
          </c:dPt>
          <c:dPt>
            <c:idx val="96"/>
            <c:bubble3D val="0"/>
            <c:extLst>
              <c:ext xmlns:c16="http://schemas.microsoft.com/office/drawing/2014/chart" uri="{C3380CC4-5D6E-409C-BE32-E72D297353CC}">
                <c16:uniqueId val="{00000015-0B43-4EE1-90F6-F2C383C1DDC5}"/>
              </c:ext>
            </c:extLst>
          </c:dPt>
          <c:dPt>
            <c:idx val="108"/>
            <c:bubble3D val="0"/>
            <c:extLst>
              <c:ext xmlns:c16="http://schemas.microsoft.com/office/drawing/2014/chart" uri="{C3380CC4-5D6E-409C-BE32-E72D297353CC}">
                <c16:uniqueId val="{00000017-0B43-4EE1-90F6-F2C383C1DDC5}"/>
              </c:ext>
            </c:extLst>
          </c:dPt>
          <c:dPt>
            <c:idx val="120"/>
            <c:bubble3D val="0"/>
            <c:extLst>
              <c:ext xmlns:c16="http://schemas.microsoft.com/office/drawing/2014/chart" uri="{C3380CC4-5D6E-409C-BE32-E72D297353CC}">
                <c16:uniqueId val="{00000019-0B43-4EE1-90F6-F2C383C1DDC5}"/>
              </c:ext>
            </c:extLst>
          </c:dPt>
          <c:dPt>
            <c:idx val="132"/>
            <c:bubble3D val="0"/>
            <c:extLst>
              <c:ext xmlns:c16="http://schemas.microsoft.com/office/drawing/2014/chart" uri="{C3380CC4-5D6E-409C-BE32-E72D297353CC}">
                <c16:uniqueId val="{0000001B-0B43-4EE1-90F6-F2C383C1DDC5}"/>
              </c:ext>
            </c:extLst>
          </c:dPt>
          <c:dPt>
            <c:idx val="144"/>
            <c:bubble3D val="0"/>
            <c:extLst>
              <c:ext xmlns:c16="http://schemas.microsoft.com/office/drawing/2014/chart" uri="{C3380CC4-5D6E-409C-BE32-E72D297353CC}">
                <c16:uniqueId val="{0000001D-0B43-4EE1-90F6-F2C383C1DDC5}"/>
              </c:ext>
            </c:extLst>
          </c:dPt>
          <c:dPt>
            <c:idx val="156"/>
            <c:bubble3D val="0"/>
            <c:extLst>
              <c:ext xmlns:c16="http://schemas.microsoft.com/office/drawing/2014/chart" uri="{C3380CC4-5D6E-409C-BE32-E72D297353CC}">
                <c16:uniqueId val="{0000001F-0B43-4EE1-90F6-F2C383C1DDC5}"/>
              </c:ext>
            </c:extLst>
          </c:dPt>
          <c:dLbls>
            <c:dLbl>
              <c:idx val="14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3A6-4936-B751-38BACD6888D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gas (no)'!$B$197:$B$338</c:f>
              <c:numCache>
                <c:formatCode>0</c:formatCode>
                <c:ptCount val="142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  <c:pt idx="138" formatCode="0.00">
                  <c:v>2021.5833223000145</c:v>
                </c:pt>
                <c:pt idx="139" formatCode="0.00">
                  <c:v>2021.6666556000146</c:v>
                </c:pt>
                <c:pt idx="140" formatCode="0.00">
                  <c:v>2021.7499889000146</c:v>
                </c:pt>
                <c:pt idx="141" formatCode="0.00">
                  <c:v>2021.8333222000147</c:v>
                </c:pt>
              </c:numCache>
            </c:numRef>
          </c:xVal>
          <c:yVal>
            <c:numRef>
              <c:f>'ESTRUCTURA gas (no)'!$O$197:$O$338</c:f>
              <c:numCache>
                <c:formatCode>#,##0</c:formatCode>
                <c:ptCount val="142"/>
                <c:pt idx="0">
                  <c:v>700299</c:v>
                </c:pt>
                <c:pt idx="1">
                  <c:v>700299</c:v>
                </c:pt>
                <c:pt idx="2">
                  <c:v>700299</c:v>
                </c:pt>
                <c:pt idx="3">
                  <c:v>700299</c:v>
                </c:pt>
                <c:pt idx="4">
                  <c:v>700299</c:v>
                </c:pt>
                <c:pt idx="5">
                  <c:v>700299</c:v>
                </c:pt>
                <c:pt idx="6">
                  <c:v>700299</c:v>
                </c:pt>
                <c:pt idx="7">
                  <c:v>700299</c:v>
                </c:pt>
                <c:pt idx="8">
                  <c:v>700299</c:v>
                </c:pt>
                <c:pt idx="9">
                  <c:v>700299</c:v>
                </c:pt>
                <c:pt idx="10">
                  <c:v>700299</c:v>
                </c:pt>
                <c:pt idx="11">
                  <c:v>700299</c:v>
                </c:pt>
                <c:pt idx="12">
                  <c:v>1099094</c:v>
                </c:pt>
                <c:pt idx="13">
                  <c:v>1099094</c:v>
                </c:pt>
                <c:pt idx="14">
                  <c:v>1099094</c:v>
                </c:pt>
                <c:pt idx="15">
                  <c:v>1099094</c:v>
                </c:pt>
                <c:pt idx="16">
                  <c:v>1099094</c:v>
                </c:pt>
                <c:pt idx="17">
                  <c:v>1099094</c:v>
                </c:pt>
                <c:pt idx="18">
                  <c:v>1099094</c:v>
                </c:pt>
                <c:pt idx="19">
                  <c:v>1099094</c:v>
                </c:pt>
                <c:pt idx="20">
                  <c:v>1099094</c:v>
                </c:pt>
                <c:pt idx="21">
                  <c:v>1099094</c:v>
                </c:pt>
                <c:pt idx="22">
                  <c:v>1099094</c:v>
                </c:pt>
                <c:pt idx="23">
                  <c:v>1099094</c:v>
                </c:pt>
                <c:pt idx="24">
                  <c:v>1144247.9535519127</c:v>
                </c:pt>
                <c:pt idx="25">
                  <c:v>1144247.9535519127</c:v>
                </c:pt>
                <c:pt idx="26">
                  <c:v>1144247.9535519127</c:v>
                </c:pt>
                <c:pt idx="27">
                  <c:v>1144247.9535519127</c:v>
                </c:pt>
                <c:pt idx="28">
                  <c:v>1144247.9535519127</c:v>
                </c:pt>
                <c:pt idx="29">
                  <c:v>1144247.9535519127</c:v>
                </c:pt>
                <c:pt idx="30">
                  <c:v>1144247.9535519127</c:v>
                </c:pt>
                <c:pt idx="31">
                  <c:v>1144247.9535519127</c:v>
                </c:pt>
                <c:pt idx="32">
                  <c:v>1144247.9535519127</c:v>
                </c:pt>
                <c:pt idx="33">
                  <c:v>1144247.9535519127</c:v>
                </c:pt>
                <c:pt idx="34">
                  <c:v>1144247.9535519127</c:v>
                </c:pt>
                <c:pt idx="35">
                  <c:v>1144247.9535519127</c:v>
                </c:pt>
                <c:pt idx="36">
                  <c:v>1179614.0900000001</c:v>
                </c:pt>
                <c:pt idx="37">
                  <c:v>1179614.0900000001</c:v>
                </c:pt>
                <c:pt idx="38">
                  <c:v>1179614.0900000001</c:v>
                </c:pt>
                <c:pt idx="39">
                  <c:v>1179614.0900000001</c:v>
                </c:pt>
                <c:pt idx="40">
                  <c:v>1179614.0900000001</c:v>
                </c:pt>
                <c:pt idx="41">
                  <c:v>1179614.0900000001</c:v>
                </c:pt>
                <c:pt idx="42">
                  <c:v>1179614.0900000001</c:v>
                </c:pt>
                <c:pt idx="43">
                  <c:v>1179614.0900000001</c:v>
                </c:pt>
                <c:pt idx="44">
                  <c:v>1179614.0900000001</c:v>
                </c:pt>
                <c:pt idx="45">
                  <c:v>1179614.0900000001</c:v>
                </c:pt>
                <c:pt idx="46">
                  <c:v>1179614.0900000001</c:v>
                </c:pt>
                <c:pt idx="47">
                  <c:v>1179614.0900000001</c:v>
                </c:pt>
                <c:pt idx="48">
                  <c:v>1250430.0712328767</c:v>
                </c:pt>
                <c:pt idx="49">
                  <c:v>1250430.0712328767</c:v>
                </c:pt>
                <c:pt idx="50">
                  <c:v>1250430.0712328767</c:v>
                </c:pt>
                <c:pt idx="51">
                  <c:v>1250430.0712328767</c:v>
                </c:pt>
                <c:pt idx="52">
                  <c:v>1250430.0712328767</c:v>
                </c:pt>
                <c:pt idx="53">
                  <c:v>1250430.0712328767</c:v>
                </c:pt>
                <c:pt idx="54">
                  <c:v>1250430.0712328767</c:v>
                </c:pt>
                <c:pt idx="55">
                  <c:v>1250430.0712328767</c:v>
                </c:pt>
                <c:pt idx="56">
                  <c:v>1250430.0712328767</c:v>
                </c:pt>
                <c:pt idx="57">
                  <c:v>1250430.0712328767</c:v>
                </c:pt>
                <c:pt idx="58">
                  <c:v>1250430.0712328767</c:v>
                </c:pt>
                <c:pt idx="59">
                  <c:v>1250430.0712328767</c:v>
                </c:pt>
                <c:pt idx="60">
                  <c:v>1294666.0900999999</c:v>
                </c:pt>
                <c:pt idx="61">
                  <c:v>1294666.0900999999</c:v>
                </c:pt>
                <c:pt idx="62">
                  <c:v>1294666.0900999999</c:v>
                </c:pt>
                <c:pt idx="63">
                  <c:v>1294666.0900999999</c:v>
                </c:pt>
                <c:pt idx="64">
                  <c:v>1294666.0900999999</c:v>
                </c:pt>
                <c:pt idx="65">
                  <c:v>1294666.0900999999</c:v>
                </c:pt>
                <c:pt idx="66">
                  <c:v>1294666.0900999999</c:v>
                </c:pt>
                <c:pt idx="67">
                  <c:v>1294666.0900999999</c:v>
                </c:pt>
                <c:pt idx="68">
                  <c:v>1294666.0900999999</c:v>
                </c:pt>
                <c:pt idx="69">
                  <c:v>1294666.0900999999</c:v>
                </c:pt>
                <c:pt idx="70">
                  <c:v>1294666.0900999999</c:v>
                </c:pt>
                <c:pt idx="71">
                  <c:v>1294666.0900999999</c:v>
                </c:pt>
                <c:pt idx="72">
                  <c:v>1350904.1949</c:v>
                </c:pt>
                <c:pt idx="73">
                  <c:v>1350904.1949</c:v>
                </c:pt>
                <c:pt idx="74">
                  <c:v>1350904.1949</c:v>
                </c:pt>
                <c:pt idx="75">
                  <c:v>1350904.1949</c:v>
                </c:pt>
                <c:pt idx="76">
                  <c:v>1350904.1949</c:v>
                </c:pt>
                <c:pt idx="77">
                  <c:v>1350904.1949</c:v>
                </c:pt>
                <c:pt idx="78">
                  <c:v>1350904.1949</c:v>
                </c:pt>
                <c:pt idx="79">
                  <c:v>1350904.1949</c:v>
                </c:pt>
                <c:pt idx="80">
                  <c:v>1350904.1949</c:v>
                </c:pt>
                <c:pt idx="81">
                  <c:v>1350904.1949</c:v>
                </c:pt>
                <c:pt idx="82">
                  <c:v>1350904.1949</c:v>
                </c:pt>
                <c:pt idx="83">
                  <c:v>1350904.1949</c:v>
                </c:pt>
                <c:pt idx="84">
                  <c:v>1245812.264</c:v>
                </c:pt>
                <c:pt idx="85">
                  <c:v>1245812.264</c:v>
                </c:pt>
                <c:pt idx="86">
                  <c:v>1245812.264</c:v>
                </c:pt>
                <c:pt idx="87">
                  <c:v>1245812.264</c:v>
                </c:pt>
                <c:pt idx="88">
                  <c:v>1245812.264</c:v>
                </c:pt>
                <c:pt idx="89">
                  <c:v>1245812.264</c:v>
                </c:pt>
                <c:pt idx="90">
                  <c:v>1245812.264</c:v>
                </c:pt>
                <c:pt idx="91">
                  <c:v>1245812.264</c:v>
                </c:pt>
                <c:pt idx="92">
                  <c:v>1245812.264</c:v>
                </c:pt>
                <c:pt idx="93">
                  <c:v>1245812.264</c:v>
                </c:pt>
                <c:pt idx="94">
                  <c:v>1245812.264</c:v>
                </c:pt>
                <c:pt idx="95">
                  <c:v>1245812.264</c:v>
                </c:pt>
                <c:pt idx="96">
                  <c:v>1197245.8237000001</c:v>
                </c:pt>
                <c:pt idx="97">
                  <c:v>1197245.8237000001</c:v>
                </c:pt>
                <c:pt idx="98">
                  <c:v>1197245.8237000001</c:v>
                </c:pt>
                <c:pt idx="99">
                  <c:v>1197245.8237000001</c:v>
                </c:pt>
                <c:pt idx="100">
                  <c:v>1197245.8237000001</c:v>
                </c:pt>
                <c:pt idx="101">
                  <c:v>1197245.8237000001</c:v>
                </c:pt>
                <c:pt idx="102">
                  <c:v>1197245.8237000001</c:v>
                </c:pt>
                <c:pt idx="103">
                  <c:v>1197245.8237000001</c:v>
                </c:pt>
                <c:pt idx="104">
                  <c:v>1197245.8237000001</c:v>
                </c:pt>
                <c:pt idx="105">
                  <c:v>1197245.8237000001</c:v>
                </c:pt>
                <c:pt idx="106">
                  <c:v>1197245.8237000001</c:v>
                </c:pt>
                <c:pt idx="107">
                  <c:v>1197245.8237000001</c:v>
                </c:pt>
                <c:pt idx="108">
                  <c:v>1299273.6229000001</c:v>
                </c:pt>
                <c:pt idx="109">
                  <c:v>1299273.6229000001</c:v>
                </c:pt>
                <c:pt idx="110">
                  <c:v>1299273.6229000001</c:v>
                </c:pt>
                <c:pt idx="111">
                  <c:v>1299273.6229000001</c:v>
                </c:pt>
                <c:pt idx="112">
                  <c:v>1299273.6229000001</c:v>
                </c:pt>
                <c:pt idx="113">
                  <c:v>1299273.6229000001</c:v>
                </c:pt>
                <c:pt idx="114">
                  <c:v>1299273.6229000001</c:v>
                </c:pt>
                <c:pt idx="115">
                  <c:v>1299273.6229000001</c:v>
                </c:pt>
                <c:pt idx="116">
                  <c:v>1299273.6229000001</c:v>
                </c:pt>
                <c:pt idx="117">
                  <c:v>1299273.6229000001</c:v>
                </c:pt>
                <c:pt idx="118">
                  <c:v>1299273.6229000001</c:v>
                </c:pt>
                <c:pt idx="119">
                  <c:v>1299273.6229000001</c:v>
                </c:pt>
                <c:pt idx="120">
                  <c:v>1160730.4550000001</c:v>
                </c:pt>
                <c:pt idx="121">
                  <c:v>1160730.4550000001</c:v>
                </c:pt>
                <c:pt idx="122">
                  <c:v>1160730.4550000001</c:v>
                </c:pt>
                <c:pt idx="123">
                  <c:v>1160730.4550000001</c:v>
                </c:pt>
                <c:pt idx="124">
                  <c:v>1160730.4550000001</c:v>
                </c:pt>
                <c:pt idx="125">
                  <c:v>1160730.4550000001</c:v>
                </c:pt>
                <c:pt idx="126">
                  <c:v>1160730.4550000001</c:v>
                </c:pt>
                <c:pt idx="127">
                  <c:v>1160730.4550000001</c:v>
                </c:pt>
                <c:pt idx="128">
                  <c:v>1160730.4550000001</c:v>
                </c:pt>
                <c:pt idx="129">
                  <c:v>1160730.4550000001</c:v>
                </c:pt>
                <c:pt idx="130">
                  <c:v>1160730.4550000001</c:v>
                </c:pt>
                <c:pt idx="131">
                  <c:v>1160730.4550000001</c:v>
                </c:pt>
                <c:pt idx="132">
                  <c:v>1041038.601</c:v>
                </c:pt>
                <c:pt idx="133">
                  <c:v>1041038.601</c:v>
                </c:pt>
                <c:pt idx="134">
                  <c:v>1041038.601</c:v>
                </c:pt>
                <c:pt idx="135">
                  <c:v>1041038.601</c:v>
                </c:pt>
                <c:pt idx="136">
                  <c:v>1041038.601</c:v>
                </c:pt>
                <c:pt idx="137">
                  <c:v>1041038.601</c:v>
                </c:pt>
                <c:pt idx="138">
                  <c:v>1041038.601</c:v>
                </c:pt>
                <c:pt idx="139">
                  <c:v>1041038.601</c:v>
                </c:pt>
                <c:pt idx="140">
                  <c:v>1041038.601</c:v>
                </c:pt>
                <c:pt idx="141">
                  <c:v>1041038.601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B43-4EE1-90F6-F2C383C1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4896"/>
        <c:axId val="1"/>
      </c:scatterChart>
      <c:valAx>
        <c:axId val="1359394896"/>
        <c:scaling>
          <c:orientation val="minMax"/>
          <c:max val="2021.94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700000"/>
          <c:min val="1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3957819305284388E-2"/>
              <c:y val="0.10913322581665243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394896"/>
        <c:crosses val="autoZero"/>
        <c:crossBetween val="midCat"/>
        <c:majorUnit val="100000"/>
        <c:minorUnit val="10000"/>
        <c:dispUnits>
          <c:builtInUnit val="thousands"/>
        </c:dispUnits>
      </c:valAx>
      <c:spPr>
        <a:solidFill>
          <a:schemeClr val="bg2"/>
        </a:solidFill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ayout>
        <c:manualLayout>
          <c:xMode val="edge"/>
          <c:yMode val="edge"/>
          <c:x val="0.25341386141446215"/>
          <c:y val="0.91512532017835124"/>
          <c:w val="0.50546532500876085"/>
          <c:h val="6.604003415235748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Footer>&amp;ZOct-12&amp;D7</c:oddFooter>
    </c:headerFooter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 macro="">
      <xdr:nvGraphicFramePr>
        <xdr:cNvPr id="17707208" name="Chart 1">
          <a:extLst>
            <a:ext uri="{FF2B5EF4-FFF2-40B4-BE49-F238E27FC236}">
              <a16:creationId xmlns:a16="http://schemas.microsoft.com/office/drawing/2014/main" id="{EFD8DD8A-6034-49C1-9F2E-7B30567BB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 macro="">
      <xdr:nvGraphicFramePr>
        <xdr:cNvPr id="17707209" name="Chart 2">
          <a:extLst>
            <a:ext uri="{FF2B5EF4-FFF2-40B4-BE49-F238E27FC236}">
              <a16:creationId xmlns:a16="http://schemas.microsoft.com/office/drawing/2014/main" id="{A1510A1D-C95A-456A-9406-E2DCD5F24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309791</xdr:colOff>
      <xdr:row>5</xdr:row>
      <xdr:rowOff>105743</xdr:rowOff>
    </xdr:from>
    <xdr:to>
      <xdr:col>12</xdr:col>
      <xdr:colOff>245918</xdr:colOff>
      <xdr:row>30</xdr:row>
      <xdr:rowOff>19570</xdr:rowOff>
    </xdr:to>
    <xdr:graphicFrame macro="">
      <xdr:nvGraphicFramePr>
        <xdr:cNvPr id="17423699" name="Chart 1026">
          <a:extLst>
            <a:ext uri="{FF2B5EF4-FFF2-40B4-BE49-F238E27FC236}">
              <a16:creationId xmlns:a16="http://schemas.microsoft.com/office/drawing/2014/main" id="{BF7524EE-020E-444E-8AB4-D0E24D4A0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264102</xdr:colOff>
      <xdr:row>51</xdr:row>
      <xdr:rowOff>77066</xdr:rowOff>
    </xdr:from>
    <xdr:to>
      <xdr:col>12</xdr:col>
      <xdr:colOff>254577</xdr:colOff>
      <xdr:row>76</xdr:row>
      <xdr:rowOff>67541</xdr:rowOff>
    </xdr:to>
    <xdr:graphicFrame macro="">
      <xdr:nvGraphicFramePr>
        <xdr:cNvPr id="17423700" name="Chart 1027">
          <a:extLst>
            <a:ext uri="{FF2B5EF4-FFF2-40B4-BE49-F238E27FC236}">
              <a16:creationId xmlns:a16="http://schemas.microsoft.com/office/drawing/2014/main" id="{76EBDBB6-6B6B-450C-A1D9-772E29584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0.918</cdr:x>
      <cdr:y>0.52404</cdr:y>
    </cdr:from>
    <cdr:to>
      <cdr:x>0.91825</cdr:x>
      <cdr:y>0.52428</cdr:y>
    </cdr:to>
    <cdr:sp macro="" textlink="">
      <cdr:nvSpPr>
        <cdr:cNvPr id="2557090" name="CuadroTexto 2557089"/>
        <cdr:cNvSpPr txBox="1"/>
      </cdr:nvSpPr>
      <cdr:spPr>
        <a:xfrm xmlns:a="http://schemas.openxmlformats.org/drawingml/2006/main">
          <a:off x="6312937" y="1946407"/>
          <a:ext cx="612321" cy="252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1000"/>
            <a:t>136,208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0.44723</cdr:x>
      <cdr:y>0.52665</cdr:y>
    </cdr:from>
    <cdr:to>
      <cdr:x>0.4571</cdr:x>
      <cdr:y>0.57278</cdr:y>
    </cdr:to>
    <cdr:sp macro="" textlink="">
      <cdr:nvSpPr>
        <cdr:cNvPr id="83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4354" y="2070619"/>
          <a:ext cx="68994" cy="178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theme="9" tint="0.59999389629810485"/>
    <pageSetUpPr fitToPage="1"/>
  </sheetPr>
  <dimension ref="A1:BK343"/>
  <sheetViews>
    <sheetView topLeftCell="A5" workbookViewId="0">
      <pane xSplit="4" ySplit="3" topLeftCell="AI330" activePane="bottomRight" state="frozen"/>
      <selection activeCell="A5" sqref="A5"/>
      <selection pane="topRight" activeCell="E5" sqref="E5"/>
      <selection pane="bottomLeft" activeCell="A8" sqref="A8"/>
      <selection pane="bottomRight" activeCell="AK341" sqref="AK341"/>
    </sheetView>
  </sheetViews>
  <sheetFormatPr baseColWidth="10" defaultColWidth="11.44140625" defaultRowHeight="13.2" x14ac:dyDescent="0.25"/>
  <cols>
    <col min="1" max="1" width="2.88671875" style="135" customWidth="1"/>
    <col min="2" max="2" width="1.44140625" style="135" customWidth="1"/>
    <col min="3" max="3" width="9.33203125" style="181" customWidth="1"/>
    <col min="4" max="4" width="10.5546875" style="135" bestFit="1" customWidth="1"/>
    <col min="5" max="5" width="9" style="135" hidden="1" customWidth="1"/>
    <col min="6" max="6" width="10.109375" style="135" hidden="1" customWidth="1"/>
    <col min="7" max="7" width="11" style="135" hidden="1" customWidth="1"/>
    <col min="8" max="8" width="9.6640625" style="135" hidden="1" customWidth="1"/>
    <col min="9" max="9" width="11" style="135" hidden="1" customWidth="1"/>
    <col min="10" max="10" width="10.109375" style="135" hidden="1" customWidth="1"/>
    <col min="11" max="11" width="8.5546875" style="135" hidden="1" customWidth="1"/>
    <col min="12" max="12" width="12" style="135" hidden="1" customWidth="1"/>
    <col min="13" max="13" width="11.88671875" style="135" hidden="1" customWidth="1"/>
    <col min="14" max="14" width="10.5546875" style="135" hidden="1" customWidth="1"/>
    <col min="15" max="15" width="12" style="135" hidden="1" customWidth="1"/>
    <col min="16" max="16" width="10.109375" style="135" hidden="1" customWidth="1"/>
    <col min="17" max="17" width="8.5546875" style="135" hidden="1" customWidth="1"/>
    <col min="18" max="18" width="11" style="135" hidden="1" customWidth="1"/>
    <col min="19" max="20" width="12.44140625" style="135" hidden="1" customWidth="1"/>
    <col min="21" max="22" width="15.109375" style="135" hidden="1" customWidth="1"/>
    <col min="23" max="26" width="14" style="135" hidden="1" customWidth="1"/>
    <col min="27" max="27" width="12.33203125" style="135" hidden="1" customWidth="1"/>
    <col min="28" max="28" width="8.33203125" style="135" hidden="1" customWidth="1"/>
    <col min="29" max="34" width="10.109375" style="135" hidden="1" customWidth="1"/>
    <col min="35" max="35" width="11" style="135" customWidth="1"/>
    <col min="36" max="36" width="13.6640625" style="142" customWidth="1"/>
    <col min="37" max="37" width="11.44140625" style="138"/>
    <col min="38" max="16384" width="11.44140625" style="135"/>
  </cols>
  <sheetData>
    <row r="1" spans="1:36" hidden="1" x14ac:dyDescent="0.25"/>
    <row r="2" spans="1:36" hidden="1" x14ac:dyDescent="0.25"/>
    <row r="3" spans="1:36" hidden="1" x14ac:dyDescent="0.25"/>
    <row r="4" spans="1:36" hidden="1" x14ac:dyDescent="0.25"/>
    <row r="5" spans="1:36" x14ac:dyDescent="0.2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7" spans="1:36" ht="26.4" x14ac:dyDescent="0.2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1:36" x14ac:dyDescent="0.25">
      <c r="C8" s="182">
        <f>+C7+0.0833333</f>
        <v>1994.0833333</v>
      </c>
      <c r="D8" s="147">
        <v>34335</v>
      </c>
      <c r="E8" s="148">
        <f>18672/31</f>
        <v>602.32258064516134</v>
      </c>
      <c r="F8" s="148">
        <f>17869/31</f>
        <v>576.41935483870964</v>
      </c>
      <c r="G8" s="148">
        <f>10242/31</f>
        <v>330.38709677419354</v>
      </c>
      <c r="H8" s="148">
        <f>14236/31</f>
        <v>459.22580645161293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873.32258064516134</v>
      </c>
      <c r="L8" s="148">
        <f>12589/31</f>
        <v>406.09677419354841</v>
      </c>
      <c r="M8" s="148">
        <f>413556/31</f>
        <v>13340.516129032258</v>
      </c>
      <c r="N8" s="148">
        <f>152233/31</f>
        <v>4910.7419354838712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61276.258064516129</v>
      </c>
      <c r="X8" s="148"/>
      <c r="Y8" s="148"/>
      <c r="Z8" s="148"/>
      <c r="AA8" s="148">
        <f>+(3935+15927)/31</f>
        <v>640.70967741935488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x14ac:dyDescent="0.25">
      <c r="A9" s="149"/>
      <c r="B9" s="149"/>
      <c r="C9" s="182">
        <f t="shared" ref="C9:C18" si="0">+C8+0.0833333</f>
        <v>1994.1666666000001</v>
      </c>
      <c r="D9" s="147">
        <v>34366</v>
      </c>
      <c r="E9" s="148">
        <f>18462/28</f>
        <v>659.35714285714289</v>
      </c>
      <c r="F9" s="148">
        <f>15422/28</f>
        <v>550.78571428571433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13306.321428571429</v>
      </c>
      <c r="N9" s="148">
        <f>136863/28</f>
        <v>4887.9642857142853</v>
      </c>
      <c r="O9" s="148"/>
      <c r="P9" s="148"/>
      <c r="Q9" s="148"/>
      <c r="R9" s="148"/>
      <c r="S9" s="148">
        <f>570216/28</f>
        <v>20364.857142857141</v>
      </c>
      <c r="T9" s="148"/>
      <c r="U9" s="148">
        <f>649113/28</f>
        <v>23182.607142857141</v>
      </c>
      <c r="V9" s="148"/>
      <c r="W9" s="148">
        <f>1693952/28</f>
        <v>60498.285714285717</v>
      </c>
      <c r="X9" s="148"/>
      <c r="Y9" s="148"/>
      <c r="Z9" s="148"/>
      <c r="AA9" s="148">
        <f>+(13560+3545)/28</f>
        <v>610.89285714285711</v>
      </c>
      <c r="AB9" s="148"/>
      <c r="AC9" s="148"/>
      <c r="AD9" s="148"/>
      <c r="AE9" s="148"/>
      <c r="AF9" s="148"/>
      <c r="AG9" s="148"/>
      <c r="AH9" s="148"/>
      <c r="AI9" s="148">
        <f t="shared" ref="AI9:AI24" si="1">SUM(E9:AA9)</f>
        <v>128364.82142857143</v>
      </c>
      <c r="AJ9" s="252">
        <v>127305</v>
      </c>
    </row>
    <row r="10" spans="1:36" x14ac:dyDescent="0.2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591.64516129032256</v>
      </c>
      <c r="F10" s="148">
        <f>17483/31</f>
        <v>563.9677419354839</v>
      </c>
      <c r="G10" s="148">
        <f>8566/31</f>
        <v>276.32258064516128</v>
      </c>
      <c r="H10" s="148">
        <f>12714/31</f>
        <v>410.12903225806451</v>
      </c>
      <c r="I10" s="148">
        <f>7066/31</f>
        <v>227.93548387096774</v>
      </c>
      <c r="J10" s="148">
        <f>59172/31</f>
        <v>1908.7741935483871</v>
      </c>
      <c r="K10" s="148">
        <f>24235/31</f>
        <v>781.77419354838707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4748.9032258064517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25001.258064516129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615.93548387096769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128527.77419354839</v>
      </c>
      <c r="AJ10" s="252">
        <v>127305</v>
      </c>
    </row>
    <row r="11" spans="1:36" x14ac:dyDescent="0.2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524.23333333333335</v>
      </c>
      <c r="G11" s="148">
        <f>7016/30</f>
        <v>233.86666666666667</v>
      </c>
      <c r="H11" s="148">
        <f>12635/30</f>
        <v>421.16666666666669</v>
      </c>
      <c r="I11" s="148">
        <f>5622/30</f>
        <v>187.4</v>
      </c>
      <c r="J11" s="148">
        <f>57969/30</f>
        <v>1932.3</v>
      </c>
      <c r="K11" s="148">
        <f>29681/30</f>
        <v>989.36666666666667</v>
      </c>
      <c r="L11" s="148">
        <f>13384/30</f>
        <v>446.13333333333333</v>
      </c>
      <c r="M11" s="148">
        <f>398126/30</f>
        <v>13270.866666666667</v>
      </c>
      <c r="N11" s="148">
        <f>145413/30</f>
        <v>4847.1000000000004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610.43333333333328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x14ac:dyDescent="0.2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570.54838709677415</v>
      </c>
      <c r="F12" s="148">
        <f>14481/31</f>
        <v>467.12903225806451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266.29032258064518</v>
      </c>
      <c r="J12" s="148">
        <f>57629/31</f>
        <v>1859</v>
      </c>
      <c r="K12" s="148">
        <f>27332/31</f>
        <v>881.67741935483866</v>
      </c>
      <c r="L12" s="148">
        <f>13482/31</f>
        <v>434.90322580645159</v>
      </c>
      <c r="M12" s="148">
        <f>405957/31</f>
        <v>13095.387096774193</v>
      </c>
      <c r="N12" s="148">
        <f>149801/31</f>
        <v>4832.2903225806449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56173.612903225803</v>
      </c>
      <c r="X12" s="148"/>
      <c r="Y12" s="148"/>
      <c r="Z12" s="148"/>
      <c r="AA12" s="148">
        <f>+(14993+3491)/31</f>
        <v>596.25806451612902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134129.80645161291</v>
      </c>
      <c r="AJ12" s="252">
        <v>127305</v>
      </c>
    </row>
    <row r="13" spans="1:36" x14ac:dyDescent="0.2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571.56666666666672</v>
      </c>
      <c r="F13" s="148">
        <f>17308/30</f>
        <v>576.93333333333328</v>
      </c>
      <c r="G13" s="148">
        <f>9139/30</f>
        <v>304.63333333333333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921.26666666666665</v>
      </c>
      <c r="L13" s="148">
        <f>13370/30</f>
        <v>445.66666666666669</v>
      </c>
      <c r="M13" s="148">
        <f>396517/30</f>
        <v>13217.233333333334</v>
      </c>
      <c r="N13" s="148">
        <f>144853/30</f>
        <v>4828.4333333333334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52722.133333333331</v>
      </c>
      <c r="X13" s="148"/>
      <c r="Y13" s="148"/>
      <c r="Z13" s="148"/>
      <c r="AA13" s="148">
        <f>+(15272+4235)/30</f>
        <v>650.23333333333335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x14ac:dyDescent="0.25">
      <c r="A14" s="149">
        <v>2.7397260273972603E-3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421.32258064516128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857.90322580645159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54473.741935483871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x14ac:dyDescent="0.2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561.41935483870964</v>
      </c>
      <c r="G15" s="148">
        <f>7881/31</f>
        <v>254.2258064516129</v>
      </c>
      <c r="H15" s="148">
        <f>16261/31</f>
        <v>524.54838709677415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919.41935483870964</v>
      </c>
      <c r="L15" s="148">
        <f>13608/31</f>
        <v>438.96774193548384</v>
      </c>
      <c r="M15" s="148">
        <f>429973/31</f>
        <v>13870.096774193549</v>
      </c>
      <c r="N15" s="148">
        <f>146778/31</f>
        <v>4734.7741935483873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53300.483870967742</v>
      </c>
      <c r="X15" s="148"/>
      <c r="Y15" s="148"/>
      <c r="Z15" s="148"/>
      <c r="AA15" s="148">
        <f>+(4347+16022)/31</f>
        <v>657.06451612903231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x14ac:dyDescent="0.2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585.76666666666665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4680.7666666666664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53904.033333333333</v>
      </c>
      <c r="X16" s="148"/>
      <c r="Y16" s="148"/>
      <c r="Z16" s="148"/>
      <c r="AA16" s="148">
        <f>+(3706+13533)/30</f>
        <v>574.63333333333333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x14ac:dyDescent="0.2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357.74193548387098</v>
      </c>
      <c r="F17" s="148">
        <f>17783/31</f>
        <v>573.64516129032256</v>
      </c>
      <c r="G17" s="148">
        <f>9068/31</f>
        <v>292.51612903225805</v>
      </c>
      <c r="H17" s="148">
        <f>16718/31</f>
        <v>539.29032258064512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932.51612903225805</v>
      </c>
      <c r="L17" s="148">
        <f>13322/31</f>
        <v>429.74193548387098</v>
      </c>
      <c r="M17" s="148">
        <f>434403/31</f>
        <v>14013</v>
      </c>
      <c r="N17" s="148">
        <f>143288/31</f>
        <v>4622.1935483870966</v>
      </c>
      <c r="O17" s="148"/>
      <c r="P17" s="148"/>
      <c r="Q17" s="148"/>
      <c r="R17" s="148"/>
      <c r="S17" s="148">
        <f>597326/31</f>
        <v>19268.580645161292</v>
      </c>
      <c r="T17" s="148"/>
      <c r="U17" s="148">
        <v>28937.419354838708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580.77419354838707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x14ac:dyDescent="0.2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673.76666666666665</v>
      </c>
      <c r="F18" s="148">
        <f>17113/30</f>
        <v>570.43333333333328</v>
      </c>
      <c r="G18" s="148">
        <f>7811/30</f>
        <v>260.36666666666667</v>
      </c>
      <c r="H18" s="148">
        <f>16759/30</f>
        <v>558.63333333333333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836.06666666666672</v>
      </c>
      <c r="L18" s="148">
        <f>12326/30</f>
        <v>410.86666666666667</v>
      </c>
      <c r="M18" s="148">
        <f>407184/30</f>
        <v>13572.8</v>
      </c>
      <c r="N18" s="148">
        <f>136112/30</f>
        <v>4537.0666666666666</v>
      </c>
      <c r="O18" s="148"/>
      <c r="P18" s="148"/>
      <c r="Q18" s="148"/>
      <c r="R18" s="148"/>
      <c r="S18" s="148">
        <f>550023/30</f>
        <v>18334.099999999999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617.26666666666665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x14ac:dyDescent="0.25">
      <c r="A19" s="149"/>
      <c r="B19" s="149"/>
      <c r="C19" s="182">
        <f t="shared" ref="C19:C82" si="2">+C18+0.0833333</f>
        <v>1994.9999996000006</v>
      </c>
      <c r="D19" s="147">
        <v>34669</v>
      </c>
      <c r="E19" s="148">
        <f>16998/31</f>
        <v>548.32258064516134</v>
      </c>
      <c r="F19" s="148">
        <f>18641/31</f>
        <v>601.32258064516134</v>
      </c>
      <c r="G19" s="148">
        <f>7892/31</f>
        <v>254.58064516129033</v>
      </c>
      <c r="H19" s="148">
        <f>17281/31</f>
        <v>557.45161290322585</v>
      </c>
      <c r="I19" s="148">
        <f>7048/31</f>
        <v>227.35483870967741</v>
      </c>
      <c r="J19" s="148">
        <f>57092/31</f>
        <v>1841.6774193548388</v>
      </c>
      <c r="K19" s="148">
        <f>28600/31</f>
        <v>922.58064516129036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4620.5806451612907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27163.741935483871</v>
      </c>
      <c r="V19" s="148"/>
      <c r="W19" s="148">
        <f>1452075/31</f>
        <v>46841.129032258068</v>
      </c>
      <c r="X19" s="148"/>
      <c r="Y19" s="148"/>
      <c r="Z19" s="148"/>
      <c r="AA19" s="148">
        <f>+(5904+13613)/31</f>
        <v>629.58064516129036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x14ac:dyDescent="0.2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x14ac:dyDescent="0.2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x14ac:dyDescent="0.2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x14ac:dyDescent="0.2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x14ac:dyDescent="0.2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x14ac:dyDescent="0.25">
      <c r="A25" s="149"/>
      <c r="B25" s="149"/>
      <c r="C25" s="182">
        <f t="shared" si="2"/>
        <v>1995.4999994000009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t="shared" ref="AI25:AI40" si="3">SUM(E25:AA25)</f>
        <v>123726</v>
      </c>
      <c r="AJ25" s="252">
        <v>121700</v>
      </c>
    </row>
    <row r="26" spans="1:36" x14ac:dyDescent="0.25">
      <c r="A26" s="149"/>
      <c r="B26" s="149"/>
      <c r="C26" s="182">
        <f t="shared" si="2"/>
        <v>1995.5833327000009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x14ac:dyDescent="0.2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x14ac:dyDescent="0.2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x14ac:dyDescent="0.25">
      <c r="A29" s="149"/>
      <c r="B29" s="149"/>
      <c r="C29" s="182">
        <f t="shared" si="2"/>
        <v>1995.8333326000011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x14ac:dyDescent="0.2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x14ac:dyDescent="0.2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x14ac:dyDescent="0.2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x14ac:dyDescent="0.2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x14ac:dyDescent="0.2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x14ac:dyDescent="0.2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x14ac:dyDescent="0.2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x14ac:dyDescent="0.2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x14ac:dyDescent="0.2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x14ac:dyDescent="0.2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x14ac:dyDescent="0.2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x14ac:dyDescent="0.2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x14ac:dyDescent="0.2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x14ac:dyDescent="0.2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x14ac:dyDescent="0.2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x14ac:dyDescent="0.2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x14ac:dyDescent="0.25">
      <c r="A46" s="149"/>
      <c r="B46" s="149"/>
      <c r="C46" s="182">
        <f t="shared" si="2"/>
        <v>1997.2499987000019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x14ac:dyDescent="0.2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x14ac:dyDescent="0.2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x14ac:dyDescent="0.25">
      <c r="A49" s="149"/>
      <c r="B49" s="149"/>
      <c r="C49" s="182">
        <f t="shared" si="2"/>
        <v>1997.4999986000021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x14ac:dyDescent="0.2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x14ac:dyDescent="0.2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x14ac:dyDescent="0.2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x14ac:dyDescent="0.2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x14ac:dyDescent="0.2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x14ac:dyDescent="0.2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x14ac:dyDescent="0.2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x14ac:dyDescent="0.2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x14ac:dyDescent="0.2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x14ac:dyDescent="0.2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x14ac:dyDescent="0.2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x14ac:dyDescent="0.2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t="shared" ref="AJ61:AJ67" si="4">+AJ60</f>
        <v>115593</v>
      </c>
    </row>
    <row r="62" spans="1:36" x14ac:dyDescent="0.2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x14ac:dyDescent="0.2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x14ac:dyDescent="0.2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7" x14ac:dyDescent="0.2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7" x14ac:dyDescent="0.25">
      <c r="A66" s="149"/>
      <c r="B66" s="149"/>
      <c r="C66" s="182">
        <f t="shared" si="2"/>
        <v>1998.9166647000029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7" x14ac:dyDescent="0.2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7" x14ac:dyDescent="0.2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7" x14ac:dyDescent="0.25">
      <c r="A69" s="149"/>
      <c r="B69" s="149"/>
      <c r="C69" s="182">
        <f t="shared" si="2"/>
        <v>1999.1666646000031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t="shared" ref="AJ69:AJ78" si="5">+AJ68</f>
        <v>105927</v>
      </c>
    </row>
    <row r="70" spans="1:37" x14ac:dyDescent="0.25">
      <c r="A70" s="149"/>
      <c r="B70" s="149"/>
      <c r="C70" s="182">
        <f t="shared" si="2"/>
        <v>1999.2499979000031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7" x14ac:dyDescent="0.2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x14ac:dyDescent="0.2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7" x14ac:dyDescent="0.2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7" x14ac:dyDescent="0.2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7" x14ac:dyDescent="0.2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7" x14ac:dyDescent="0.2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7" x14ac:dyDescent="0.2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7" x14ac:dyDescent="0.2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7" x14ac:dyDescent="0.2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7" x14ac:dyDescent="0.2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40" x14ac:dyDescent="0.2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t="shared" ref="AJ81:AJ86" si="6">+AJ80</f>
        <v>99217</v>
      </c>
    </row>
    <row r="82" spans="1:40" x14ac:dyDescent="0.2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40" x14ac:dyDescent="0.25">
      <c r="A83" s="149"/>
      <c r="B83" s="149"/>
      <c r="C83" s="182">
        <f t="shared" ref="C83:C146" si="7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40" x14ac:dyDescent="0.2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40" x14ac:dyDescent="0.2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98">
        <v>3869</v>
      </c>
      <c r="K85" s="298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40" x14ac:dyDescent="0.25">
      <c r="A86" s="149"/>
      <c r="B86" s="149"/>
      <c r="C86" s="182">
        <f t="shared" si="7"/>
        <v>2000.5833307000039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98">
        <v>4034</v>
      </c>
      <c r="K86" s="298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40" x14ac:dyDescent="0.25">
      <c r="A87" s="149"/>
      <c r="B87" s="149"/>
      <c r="C87" s="182">
        <f t="shared" si="7"/>
        <v>2000.6666640000039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98">
        <v>4285</v>
      </c>
      <c r="K87" s="298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x14ac:dyDescent="0.2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98">
        <v>4266</v>
      </c>
      <c r="K88" s="298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40" x14ac:dyDescent="0.2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98">
        <v>4352</v>
      </c>
      <c r="K89" s="298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40" x14ac:dyDescent="0.25">
      <c r="A90" s="149"/>
      <c r="B90" s="149"/>
      <c r="C90" s="182">
        <f t="shared" si="7"/>
        <v>2000.9166639000041</v>
      </c>
      <c r="D90" s="152">
        <v>36831</v>
      </c>
      <c r="E90" s="148">
        <v>676.73333333333335</v>
      </c>
      <c r="F90" s="148">
        <v>735.5333333333333</v>
      </c>
      <c r="G90" s="148">
        <v>695.26666666666665</v>
      </c>
      <c r="H90" s="148">
        <v>561.93333333333328</v>
      </c>
      <c r="I90" s="148">
        <v>148.5</v>
      </c>
      <c r="J90" s="303">
        <v>4271.2666666666664</v>
      </c>
      <c r="K90" s="303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4049.7333333333331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40" x14ac:dyDescent="0.25">
      <c r="A91" s="149"/>
      <c r="B91" s="149"/>
      <c r="C91" s="182">
        <f t="shared" si="7"/>
        <v>2000.9999972000041</v>
      </c>
      <c r="D91" s="152">
        <v>36861</v>
      </c>
      <c r="E91" s="148">
        <v>660.41935483870964</v>
      </c>
      <c r="F91" s="148">
        <v>748.58064516129036</v>
      </c>
      <c r="G91" s="148">
        <v>712.29032258064512</v>
      </c>
      <c r="H91" s="148">
        <v>555.67741935483866</v>
      </c>
      <c r="I91" s="148">
        <v>141.7741935483871</v>
      </c>
      <c r="J91" s="298">
        <v>4265.2258064516127</v>
      </c>
      <c r="K91" s="298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24387.258064516129</v>
      </c>
      <c r="V91" s="148"/>
      <c r="W91" s="148">
        <v>36417.225806451614</v>
      </c>
      <c r="X91" s="148"/>
      <c r="Y91" s="148"/>
      <c r="Z91" s="148"/>
      <c r="AA91" s="148">
        <v>537.06451612903231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98047.741935483878</v>
      </c>
      <c r="AJ91" s="252">
        <v>99217</v>
      </c>
    </row>
    <row r="92" spans="1:40" x14ac:dyDescent="0.25">
      <c r="A92" s="149"/>
      <c r="B92" s="149"/>
      <c r="C92" s="182">
        <f t="shared" si="7"/>
        <v>2001.0833305000042</v>
      </c>
      <c r="D92" s="152">
        <v>36892</v>
      </c>
      <c r="E92" s="148">
        <v>644.93548387096769</v>
      </c>
      <c r="F92" s="148">
        <v>700.09677419354841</v>
      </c>
      <c r="G92" s="148">
        <v>667.77419354838707</v>
      </c>
      <c r="H92" s="148">
        <v>523.09677419354841</v>
      </c>
      <c r="I92" s="148">
        <v>153.83870967741936</v>
      </c>
      <c r="J92" s="298">
        <v>4113.322580645161</v>
      </c>
      <c r="K92" s="298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35627.774193548386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96710.612903225803</v>
      </c>
      <c r="AJ92" s="252">
        <v>97097</v>
      </c>
    </row>
    <row r="93" spans="1:40" x14ac:dyDescent="0.25">
      <c r="A93" s="149"/>
      <c r="B93" s="149"/>
      <c r="C93" s="182">
        <f t="shared" si="7"/>
        <v>2001.1666638000042</v>
      </c>
      <c r="D93" s="152">
        <v>36923</v>
      </c>
      <c r="E93" s="148">
        <v>722.64285714285711</v>
      </c>
      <c r="F93" s="148">
        <v>701.32142857142856</v>
      </c>
      <c r="G93" s="148">
        <v>675.32142857142856</v>
      </c>
      <c r="H93" s="148">
        <v>539</v>
      </c>
      <c r="I93" s="148">
        <v>156.5</v>
      </c>
      <c r="J93" s="298">
        <v>4045.2142857142858</v>
      </c>
      <c r="K93" s="298"/>
      <c r="L93" s="148">
        <v>394.71428571428572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490.03571428571428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t="shared" ref="AJ93:AJ98" si="8">+AJ92</f>
        <v>97097</v>
      </c>
    </row>
    <row r="94" spans="1:40" x14ac:dyDescent="0.25">
      <c r="A94" s="149"/>
      <c r="B94" s="149"/>
      <c r="C94" s="182">
        <f t="shared" si="7"/>
        <v>2001.2499971000043</v>
      </c>
      <c r="D94" s="152">
        <v>36951</v>
      </c>
      <c r="E94" s="148">
        <v>644.77419354838707</v>
      </c>
      <c r="F94" s="148">
        <v>670.12903225806451</v>
      </c>
      <c r="G94" s="148">
        <v>569.87096774193549</v>
      </c>
      <c r="H94" s="148">
        <v>492</v>
      </c>
      <c r="I94" s="148">
        <v>147.45161290322579</v>
      </c>
      <c r="J94" s="298">
        <v>3904.0645161290322</v>
      </c>
      <c r="K94" s="298"/>
      <c r="L94" s="148">
        <v>369.74193548387098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35023.612903225803</v>
      </c>
      <c r="X94" s="148"/>
      <c r="Y94" s="148"/>
      <c r="Z94" s="148"/>
      <c r="AA94" s="148">
        <v>456.54838709677421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95190.354838709682</v>
      </c>
      <c r="AJ94" s="252">
        <f t="shared" si="8"/>
        <v>97097</v>
      </c>
      <c r="AM94" s="134"/>
    </row>
    <row r="95" spans="1:40" x14ac:dyDescent="0.25">
      <c r="A95" s="149"/>
      <c r="B95" s="149"/>
      <c r="C95" s="182">
        <f t="shared" si="7"/>
        <v>2001.3333304000043</v>
      </c>
      <c r="D95" s="152">
        <v>36982</v>
      </c>
      <c r="E95" s="148">
        <v>663.26666666666665</v>
      </c>
      <c r="F95" s="148">
        <v>658.7</v>
      </c>
      <c r="G95" s="148">
        <v>572.43333333333328</v>
      </c>
      <c r="H95" s="148">
        <v>500.9</v>
      </c>
      <c r="I95" s="148">
        <v>136.86666666666667</v>
      </c>
      <c r="J95" s="298">
        <v>4358.2</v>
      </c>
      <c r="K95" s="298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35552.300000000003</v>
      </c>
      <c r="X95" s="148"/>
      <c r="Y95" s="148"/>
      <c r="Z95" s="148"/>
      <c r="AA95" s="148">
        <v>376.96666666666664</v>
      </c>
      <c r="AB95" s="148"/>
      <c r="AC95" s="148">
        <v>3946.2333333333331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40" x14ac:dyDescent="0.2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677.74193548387098</v>
      </c>
      <c r="G96" s="148">
        <v>610.90322580645159</v>
      </c>
      <c r="H96" s="148">
        <v>522.70967741935488</v>
      </c>
      <c r="I96" s="148">
        <v>148.51612903225808</v>
      </c>
      <c r="J96" s="298">
        <v>4537.3870967741932</v>
      </c>
      <c r="K96" s="298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66.129032258064512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42316.129032258068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x14ac:dyDescent="0.2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98">
        <v>4451</v>
      </c>
      <c r="K97" s="298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x14ac:dyDescent="0.2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98">
        <v>4561</v>
      </c>
      <c r="K98" s="298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x14ac:dyDescent="0.2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98">
        <v>4385</v>
      </c>
      <c r="K99" s="298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x14ac:dyDescent="0.2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98">
        <v>4487</v>
      </c>
      <c r="K100" s="298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x14ac:dyDescent="0.2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98">
        <v>4265</v>
      </c>
      <c r="K101" s="298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x14ac:dyDescent="0.2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98">
        <v>4133</v>
      </c>
      <c r="K102" s="298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t="shared" ref="AI102:AI108" si="9">SUM(E102:AC102)</f>
        <v>95039.533333333326</v>
      </c>
      <c r="AJ102" s="252">
        <f>+AJ101</f>
        <v>97097</v>
      </c>
      <c r="AM102" s="134"/>
    </row>
    <row r="103" spans="1:39" x14ac:dyDescent="0.2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98">
        <v>3945</v>
      </c>
      <c r="K103" s="298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x14ac:dyDescent="0.2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98">
        <v>3743</v>
      </c>
      <c r="K104" s="298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x14ac:dyDescent="0.2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98">
        <v>3792</v>
      </c>
      <c r="K105" s="298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x14ac:dyDescent="0.2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98">
        <v>3462</v>
      </c>
      <c r="K106" s="298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t="shared" ref="AJ106:AJ114" si="10">+AJ105</f>
        <v>96865</v>
      </c>
      <c r="AM106" s="134"/>
    </row>
    <row r="107" spans="1:39" x14ac:dyDescent="0.25">
      <c r="A107" s="149"/>
      <c r="B107" s="149"/>
      <c r="C107" s="182">
        <f t="shared" si="7"/>
        <v>2002.3333300000049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98">
        <v>3441</v>
      </c>
      <c r="K107" s="298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x14ac:dyDescent="0.2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98">
        <v>3531</v>
      </c>
      <c r="K108" s="298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x14ac:dyDescent="0.2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98">
        <v>3546</v>
      </c>
      <c r="K109" s="298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t="shared" ref="AI109:AI114" si="11">SUM(E109:AC109)</f>
        <v>95357</v>
      </c>
      <c r="AJ109" s="252">
        <f t="shared" si="10"/>
        <v>96865</v>
      </c>
      <c r="AM109" s="134"/>
    </row>
    <row r="110" spans="1:39" x14ac:dyDescent="0.25">
      <c r="A110" s="149"/>
      <c r="B110" s="149"/>
      <c r="C110" s="182">
        <f t="shared" si="7"/>
        <v>2002.5833299000051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98">
        <v>3405</v>
      </c>
      <c r="K110" s="298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x14ac:dyDescent="0.2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98">
        <v>3341</v>
      </c>
      <c r="K111" s="298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x14ac:dyDescent="0.2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98">
        <v>3357</v>
      </c>
      <c r="K112" s="298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x14ac:dyDescent="0.2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98">
        <v>3346</v>
      </c>
      <c r="K113" s="298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x14ac:dyDescent="0.2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98">
        <v>3341</v>
      </c>
      <c r="K114" s="298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x14ac:dyDescent="0.2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98">
        <v>3291</v>
      </c>
      <c r="K115" s="298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x14ac:dyDescent="0.2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98">
        <v>3103</v>
      </c>
      <c r="K116" s="298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x14ac:dyDescent="0.2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98">
        <v>3002</v>
      </c>
      <c r="K117" s="298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t="shared" ref="AJ117:AJ127" si="12">+AJ116</f>
        <v>91350</v>
      </c>
      <c r="AM117" s="134"/>
    </row>
    <row r="118" spans="1:39" x14ac:dyDescent="0.2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98">
        <v>2920</v>
      </c>
      <c r="K118" s="298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t="shared" ref="AI118:AI129" si="13">SUM(E118:AC118)</f>
        <v>93653</v>
      </c>
      <c r="AJ118" s="252">
        <f t="shared" si="12"/>
        <v>91350</v>
      </c>
    </row>
    <row r="119" spans="1:39" x14ac:dyDescent="0.2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98">
        <v>3023</v>
      </c>
      <c r="K119" s="298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9" x14ac:dyDescent="0.2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98">
        <v>3080</v>
      </c>
      <c r="K120" s="298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9" x14ac:dyDescent="0.2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98">
        <v>3168</v>
      </c>
      <c r="K121" s="298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9" x14ac:dyDescent="0.2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98">
        <v>3369</v>
      </c>
      <c r="K122" s="298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9" x14ac:dyDescent="0.2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98">
        <v>3462</v>
      </c>
      <c r="K123" s="298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9" x14ac:dyDescent="0.2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98">
        <v>3406</v>
      </c>
      <c r="K124" s="298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9" x14ac:dyDescent="0.2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98">
        <v>3500</v>
      </c>
      <c r="K125" s="298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9" x14ac:dyDescent="0.2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98">
        <v>3472</v>
      </c>
      <c r="K126" s="298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9" x14ac:dyDescent="0.25">
      <c r="A127" s="149"/>
      <c r="B127" s="149"/>
      <c r="C127" s="182">
        <f t="shared" si="7"/>
        <v>2003.9999960000059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98">
        <v>4015</v>
      </c>
      <c r="K127" s="298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9" x14ac:dyDescent="0.2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98">
        <v>3622</v>
      </c>
      <c r="K128" s="298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8" x14ac:dyDescent="0.2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98">
        <v>3604</v>
      </c>
      <c r="K129" s="298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8" x14ac:dyDescent="0.25">
      <c r="C130" s="182">
        <f t="shared" si="7"/>
        <v>2004.2499959000061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98">
        <v>3645</v>
      </c>
      <c r="K130" s="298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8" x14ac:dyDescent="0.25">
      <c r="C131" s="182">
        <f t="shared" si="7"/>
        <v>2004.3333292000061</v>
      </c>
      <c r="D131" s="152">
        <v>38078</v>
      </c>
      <c r="E131" s="148">
        <v>636.43333333333328</v>
      </c>
      <c r="F131" s="148">
        <v>508.36666666666667</v>
      </c>
      <c r="G131" s="148">
        <v>546.43333333333328</v>
      </c>
      <c r="H131" s="148">
        <v>530.6</v>
      </c>
      <c r="I131" s="148">
        <v>145.06666666666666</v>
      </c>
      <c r="J131" s="298">
        <v>3604.5</v>
      </c>
      <c r="K131" s="298">
        <v>636.43333333333328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295.66666666666669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8" x14ac:dyDescent="0.25">
      <c r="C132" s="182">
        <f t="shared" si="7"/>
        <v>2004.4166625000062</v>
      </c>
      <c r="D132" s="152">
        <v>38108</v>
      </c>
      <c r="E132" s="148">
        <v>636.83870967741939</v>
      </c>
      <c r="F132" s="148">
        <v>504.90322580645159</v>
      </c>
      <c r="G132" s="148">
        <v>566.67741935483866</v>
      </c>
      <c r="H132" s="148">
        <v>537.83870967741939</v>
      </c>
      <c r="I132" s="148">
        <v>136.93548387096774</v>
      </c>
      <c r="J132" s="298">
        <v>3630</v>
      </c>
      <c r="K132" s="298">
        <v>508.36666666666667</v>
      </c>
      <c r="L132" s="148">
        <v>306.77419354838707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32416.580645161292</v>
      </c>
      <c r="X132" s="148"/>
      <c r="Y132" s="148"/>
      <c r="Z132" s="148"/>
      <c r="AA132" s="148">
        <v>336.25806451612902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8" x14ac:dyDescent="0.25">
      <c r="C133" s="182">
        <f t="shared" si="7"/>
        <v>2004.4999958000062</v>
      </c>
      <c r="D133" s="152">
        <v>38139</v>
      </c>
      <c r="E133" s="148">
        <v>633.36666666666667</v>
      </c>
      <c r="F133" s="148">
        <v>514.33333333333337</v>
      </c>
      <c r="G133" s="148">
        <v>669.5</v>
      </c>
      <c r="H133" s="148">
        <v>439.23333333333335</v>
      </c>
      <c r="I133" s="148">
        <v>147.03333333333333</v>
      </c>
      <c r="J133" s="298">
        <v>3661.0666666666666</v>
      </c>
      <c r="K133" s="298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33127.800000000003</v>
      </c>
      <c r="X133" s="148">
        <v>4116.833333333333</v>
      </c>
      <c r="Y133" s="148"/>
      <c r="Z133" s="148"/>
      <c r="AA133" s="148">
        <v>304.66666666666669</v>
      </c>
      <c r="AB133" s="148"/>
      <c r="AC133" s="148">
        <v>4067.7333333333331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8" x14ac:dyDescent="0.25">
      <c r="C134" s="182">
        <f t="shared" si="7"/>
        <v>2004.5833291000063</v>
      </c>
      <c r="D134" s="152">
        <v>38169</v>
      </c>
      <c r="E134" s="148">
        <v>628.12903225806451</v>
      </c>
      <c r="F134" s="148">
        <v>520.12903225806451</v>
      </c>
      <c r="G134" s="148">
        <v>616.80645161290317</v>
      </c>
      <c r="H134" s="148">
        <v>576.90322580645159</v>
      </c>
      <c r="I134" s="148">
        <v>135.09677419354838</v>
      </c>
      <c r="J134" s="298">
        <v>3662.0322580645161</v>
      </c>
      <c r="K134" s="298"/>
      <c r="L134" s="148">
        <v>305.87096774193549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33335.870967741932</v>
      </c>
      <c r="X134" s="148">
        <v>4350.5161290322585</v>
      </c>
      <c r="Y134" s="148"/>
      <c r="Z134" s="148"/>
      <c r="AA134" s="148">
        <v>391.54838709677421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89683.516129032243</v>
      </c>
      <c r="AJ134" s="252">
        <v>94120</v>
      </c>
    </row>
    <row r="135" spans="3:38" x14ac:dyDescent="0.25">
      <c r="C135" s="182">
        <f t="shared" si="7"/>
        <v>2004.6666624000063</v>
      </c>
      <c r="D135" s="152">
        <v>38200</v>
      </c>
      <c r="E135" s="148">
        <v>595.64516129032256</v>
      </c>
      <c r="F135" s="148">
        <v>554.90322580645159</v>
      </c>
      <c r="G135" s="148">
        <v>642.9677419354839</v>
      </c>
      <c r="H135" s="148">
        <v>524.70967741935488</v>
      </c>
      <c r="I135" s="148">
        <v>136.48387096774192</v>
      </c>
      <c r="J135" s="298">
        <v>3615.6451612903224</v>
      </c>
      <c r="K135" s="298"/>
      <c r="L135" s="148">
        <v>302.70967741935482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19294.806451612902</v>
      </c>
      <c r="V135" s="148"/>
      <c r="W135" s="148">
        <v>31762.193548387098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3985.5483870967741</v>
      </c>
      <c r="AD135" s="148"/>
      <c r="AE135" s="148"/>
      <c r="AF135" s="148"/>
      <c r="AG135" s="148"/>
      <c r="AH135" s="148"/>
      <c r="AI135" s="148">
        <f>SUM(E135:AC135)</f>
        <v>93919.129032258061</v>
      </c>
      <c r="AJ135" s="252">
        <v>94120</v>
      </c>
    </row>
    <row r="136" spans="3:38" x14ac:dyDescent="0.25">
      <c r="C136" s="182">
        <f t="shared" si="7"/>
        <v>2004.7499957000064</v>
      </c>
      <c r="D136" s="152">
        <v>38231</v>
      </c>
      <c r="E136" s="148">
        <v>617</v>
      </c>
      <c r="F136" s="148">
        <v>539.79999999999995</v>
      </c>
      <c r="G136" s="148">
        <v>683.8</v>
      </c>
      <c r="H136" s="148">
        <v>668.7</v>
      </c>
      <c r="I136" s="148">
        <v>135.56666666666666</v>
      </c>
      <c r="J136" s="298">
        <v>3657.0333333333333</v>
      </c>
      <c r="K136" s="298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8" x14ac:dyDescent="0.25">
      <c r="C137" s="182">
        <f t="shared" si="7"/>
        <v>2004.8333290000064</v>
      </c>
      <c r="D137" s="152">
        <v>38261</v>
      </c>
      <c r="E137" s="148">
        <v>659.70967741935488</v>
      </c>
      <c r="F137" s="148">
        <v>550.87096774193549</v>
      </c>
      <c r="G137" s="148">
        <v>776.19354838709683</v>
      </c>
      <c r="H137" s="148">
        <v>776.09677419354841</v>
      </c>
      <c r="I137" s="148">
        <v>130.74193548387098</v>
      </c>
      <c r="J137" s="298">
        <v>3615.483870967742</v>
      </c>
      <c r="K137" s="298"/>
      <c r="L137" s="148">
        <v>299.90322580645159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29186.419354838708</v>
      </c>
      <c r="Y137" s="148"/>
      <c r="Z137" s="148"/>
      <c r="AA137" s="148">
        <v>329.22580645161293</v>
      </c>
      <c r="AB137" s="148"/>
      <c r="AC137" s="148">
        <v>3959.0322580645161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8" x14ac:dyDescent="0.25">
      <c r="C138" s="182">
        <f t="shared" si="7"/>
        <v>2004.9166623000065</v>
      </c>
      <c r="D138" s="152">
        <v>38292</v>
      </c>
      <c r="E138" s="148">
        <v>736.63333333333333</v>
      </c>
      <c r="F138" s="148">
        <v>551.9</v>
      </c>
      <c r="G138" s="148">
        <v>815.0333333333333</v>
      </c>
      <c r="H138" s="148">
        <v>862.16666666666663</v>
      </c>
      <c r="I138" s="148">
        <v>134.76666666666668</v>
      </c>
      <c r="J138" s="298">
        <v>3553.5666666666666</v>
      </c>
      <c r="K138" s="298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3953.8666666666668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x14ac:dyDescent="0.25">
      <c r="C139" s="182">
        <f t="shared" si="7"/>
        <v>2004.9999956000065</v>
      </c>
      <c r="D139" s="152">
        <v>38322</v>
      </c>
      <c r="E139" s="148">
        <v>705.38709677419354</v>
      </c>
      <c r="F139" s="148">
        <v>551.67741935483866</v>
      </c>
      <c r="G139" s="148">
        <v>817.09677419354841</v>
      </c>
      <c r="H139" s="148">
        <v>869.9677419354839</v>
      </c>
      <c r="I139" s="148">
        <v>134.64516129032259</v>
      </c>
      <c r="J139" s="298">
        <v>3515</v>
      </c>
      <c r="K139" s="298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19301.806451612902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x14ac:dyDescent="0.25">
      <c r="C140" s="182">
        <f>+C139+0.0833333</f>
        <v>2005.0833289000066</v>
      </c>
      <c r="D140" s="152">
        <v>38353</v>
      </c>
      <c r="E140" s="148">
        <v>733.35483870967744</v>
      </c>
      <c r="F140" s="148">
        <v>552.0322580645161</v>
      </c>
      <c r="G140" s="148">
        <v>906.35483870967744</v>
      </c>
      <c r="H140" s="148">
        <v>877.48387096774195</v>
      </c>
      <c r="I140" s="148">
        <v>139.7741935483871</v>
      </c>
      <c r="J140" s="298">
        <v>3414</v>
      </c>
      <c r="K140" s="298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303.77419354838707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8" x14ac:dyDescent="0.25">
      <c r="C141" s="182">
        <f t="shared" si="7"/>
        <v>2005.1666622000066</v>
      </c>
      <c r="D141" s="152">
        <v>38384</v>
      </c>
      <c r="E141" s="148">
        <v>776.28571428571433</v>
      </c>
      <c r="F141" s="148">
        <v>548.96428571428567</v>
      </c>
      <c r="G141" s="148">
        <v>893.21428571428567</v>
      </c>
      <c r="H141" s="148">
        <v>844.78571428571433</v>
      </c>
      <c r="I141" s="148">
        <v>144.14285714285714</v>
      </c>
      <c r="J141" s="298">
        <v>3357</v>
      </c>
      <c r="K141" s="298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10020.928571428571</v>
      </c>
      <c r="T141" s="148"/>
      <c r="U141" s="148">
        <v>18901.785714285714</v>
      </c>
      <c r="V141" s="148"/>
      <c r="W141" s="148">
        <v>27820.785714285714</v>
      </c>
      <c r="X141" s="148">
        <v>34555.821428571428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8" x14ac:dyDescent="0.25">
      <c r="C142" s="182">
        <f t="shared" si="7"/>
        <v>2005.2499955000067</v>
      </c>
      <c r="D142" s="152">
        <v>38412</v>
      </c>
      <c r="E142" s="148">
        <v>735.61290322580646</v>
      </c>
      <c r="F142" s="148">
        <v>545.45161290322585</v>
      </c>
      <c r="G142" s="148">
        <v>893.54838709677415</v>
      </c>
      <c r="H142" s="148">
        <v>731.64516129032256</v>
      </c>
      <c r="I142" s="148">
        <v>116.35483870967742</v>
      </c>
      <c r="J142" s="298">
        <v>3434.3225806451615</v>
      </c>
      <c r="K142" s="298"/>
      <c r="L142" s="148">
        <v>291.25806451612902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32844.419354838712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8" x14ac:dyDescent="0.2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98">
        <v>3363</v>
      </c>
      <c r="K143" s="298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8" x14ac:dyDescent="0.2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98">
        <v>3416</v>
      </c>
      <c r="K144" s="298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t="shared" ref="AI144:AI150" si="14">SUM(E144:AC144)</f>
        <v>111568</v>
      </c>
      <c r="AJ144" s="252">
        <v>111295</v>
      </c>
    </row>
    <row r="145" spans="3:40" x14ac:dyDescent="0.2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98">
        <v>3386</v>
      </c>
      <c r="K145" s="298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x14ac:dyDescent="0.2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98">
        <v>3353</v>
      </c>
      <c r="K146" s="298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40" x14ac:dyDescent="0.25">
      <c r="C147" s="182">
        <f>+C146+0.0833333</f>
        <v>2005.6666620000069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98">
        <v>3355</v>
      </c>
      <c r="K147" s="298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40" x14ac:dyDescent="0.2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98">
        <v>3402</v>
      </c>
      <c r="K148" s="298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40" x14ac:dyDescent="0.2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98">
        <v>3320</v>
      </c>
      <c r="K149" s="298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40" x14ac:dyDescent="0.25">
      <c r="C150" s="182">
        <f>+C149+0.0833333</f>
        <v>2005.9166619000071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98">
        <v>3087</v>
      </c>
      <c r="K150" s="302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40" x14ac:dyDescent="0.25">
      <c r="C151" s="182">
        <f>+C150+0.0833333</f>
        <v>2005.9999952000071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98">
        <v>3053</v>
      </c>
      <c r="K151" s="302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t="shared" ref="AI151:AI210" si="15">SUM(E151:AC151)</f>
        <v>106688</v>
      </c>
      <c r="AJ151" s="252">
        <v>111295</v>
      </c>
    </row>
    <row r="152" spans="3:40" x14ac:dyDescent="0.25">
      <c r="C152" s="182">
        <f t="shared" ref="C152:C187" si="16">+C151+0.0833333</f>
        <v>2006.0833285000072</v>
      </c>
      <c r="D152" s="152">
        <v>38718</v>
      </c>
      <c r="E152" s="148">
        <v>790.32</v>
      </c>
      <c r="F152" s="148">
        <v>599.93499999999995</v>
      </c>
      <c r="G152" s="148">
        <v>893.38699999999994</v>
      </c>
      <c r="H152" s="148">
        <v>771.38699999999994</v>
      </c>
      <c r="I152" s="148">
        <v>130.83870970000001</v>
      </c>
      <c r="J152" s="298">
        <v>3163.19</v>
      </c>
      <c r="K152" s="298"/>
      <c r="L152" s="148">
        <v>283.548</v>
      </c>
      <c r="M152" s="148">
        <v>12448.709150000001</v>
      </c>
      <c r="N152" s="155"/>
      <c r="O152" s="148">
        <v>1.419</v>
      </c>
      <c r="P152" s="155"/>
      <c r="Q152" s="148">
        <v>19.354800000000001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543.51599999999996</v>
      </c>
      <c r="AB152" s="148">
        <v>0</v>
      </c>
      <c r="AC152" s="148">
        <v>3521.3229999999999</v>
      </c>
      <c r="AD152" s="148"/>
      <c r="AE152" s="148"/>
      <c r="AF152" s="148"/>
      <c r="AG152" s="148"/>
      <c r="AH152" s="148"/>
      <c r="AI152" s="151">
        <f t="shared" si="15"/>
        <v>112929.75874970001</v>
      </c>
      <c r="AJ152" s="252">
        <v>115581</v>
      </c>
    </row>
    <row r="153" spans="3:40" x14ac:dyDescent="0.2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302">
        <v>3199</v>
      </c>
      <c r="K153" s="302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40" x14ac:dyDescent="0.2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302">
        <v>3167</v>
      </c>
      <c r="K154" s="302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t="shared" ref="AJ154:AJ162" si="17">+AJ153</f>
        <v>115581</v>
      </c>
    </row>
    <row r="155" spans="3:40" x14ac:dyDescent="0.2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302">
        <v>3182</v>
      </c>
      <c r="K155" s="302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40" x14ac:dyDescent="0.2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98">
        <v>3146</v>
      </c>
      <c r="K156" s="298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40" x14ac:dyDescent="0.2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98">
        <v>3103</v>
      </c>
      <c r="K157" s="298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40" x14ac:dyDescent="0.25">
      <c r="C158" s="182">
        <f t="shared" si="16"/>
        <v>2006.5833283000075</v>
      </c>
      <c r="D158" s="152">
        <v>38899</v>
      </c>
      <c r="E158" s="148">
        <v>772.74193548387098</v>
      </c>
      <c r="F158" s="148">
        <v>574.93548387096769</v>
      </c>
      <c r="G158" s="148">
        <v>922.58064516129036</v>
      </c>
      <c r="H158" s="148">
        <v>1214.0645161290322</v>
      </c>
      <c r="I158" s="148">
        <v>131.16129032258064</v>
      </c>
      <c r="J158" s="298">
        <v>3059.6451612903224</v>
      </c>
      <c r="K158" s="298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429.25806451612902</v>
      </c>
      <c r="AB158" s="148">
        <v>0</v>
      </c>
      <c r="AC158" s="148">
        <v>3348.4516129032259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40" x14ac:dyDescent="0.25">
      <c r="C159" s="182">
        <f t="shared" si="16"/>
        <v>2006.6666616000075</v>
      </c>
      <c r="D159" s="152">
        <v>38930</v>
      </c>
      <c r="E159" s="148">
        <v>778.06451612903231</v>
      </c>
      <c r="F159" s="148">
        <v>586.83870967741939</v>
      </c>
      <c r="G159" s="148">
        <v>905.29032258064512</v>
      </c>
      <c r="H159" s="148">
        <f>34130/31</f>
        <v>1100.9677419354839</v>
      </c>
      <c r="I159" s="148">
        <v>136.87096774193549</v>
      </c>
      <c r="J159" s="301">
        <f>93766/31</f>
        <v>3024.7096774193546</v>
      </c>
      <c r="K159" s="301"/>
      <c r="L159" s="148">
        <v>289.58064516129031</v>
      </c>
      <c r="M159" s="148">
        <f>403648/31</f>
        <v>13020.903225806451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14748.903225806451</v>
      </c>
      <c r="T159" s="148"/>
      <c r="U159" s="148">
        <f>553005/31</f>
        <v>17838.870967741936</v>
      </c>
      <c r="V159" s="148"/>
      <c r="W159" s="148">
        <f>917346/31</f>
        <v>29591.806451612902</v>
      </c>
      <c r="X159" s="148">
        <f>1134623/31</f>
        <v>36600.741935483871</v>
      </c>
      <c r="Y159" s="148"/>
      <c r="Z159" s="148"/>
      <c r="AA159" s="148">
        <v>235.64516129032259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40" x14ac:dyDescent="0.2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302">
        <v>2984</v>
      </c>
      <c r="K160" s="302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x14ac:dyDescent="0.2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98">
        <v>3008</v>
      </c>
      <c r="K161" s="298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x14ac:dyDescent="0.2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302">
        <v>2909</v>
      </c>
      <c r="K162" s="302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x14ac:dyDescent="0.2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98">
        <v>2685</v>
      </c>
      <c r="K163" s="298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x14ac:dyDescent="0.2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302">
        <v>2853</v>
      </c>
      <c r="K164" s="302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x14ac:dyDescent="0.25">
      <c r="C165" s="182">
        <f t="shared" si="16"/>
        <v>2007.1666614000078</v>
      </c>
      <c r="D165" s="152">
        <v>39114</v>
      </c>
      <c r="E165" s="148">
        <v>729.39285714285711</v>
      </c>
      <c r="F165" s="148">
        <v>553.60714285714289</v>
      </c>
      <c r="G165" s="148">
        <v>804.03571428571433</v>
      </c>
      <c r="H165" s="148">
        <f>40071/28</f>
        <v>1431.1071428571429</v>
      </c>
      <c r="I165" s="148">
        <v>140</v>
      </c>
      <c r="J165" s="298">
        <f>80304/28</f>
        <v>2868</v>
      </c>
      <c r="K165" s="298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13135.321428571429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x14ac:dyDescent="0.2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98">
        <v>2812</v>
      </c>
      <c r="K166" s="298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17289.580645161292</v>
      </c>
      <c r="V166" s="148"/>
      <c r="W166" s="148">
        <f>845517/31</f>
        <v>27274.741935483871</v>
      </c>
      <c r="X166" s="148">
        <f>850276/31</f>
        <v>27428.258064516129</v>
      </c>
      <c r="Y166" s="148"/>
      <c r="Z166" s="148"/>
      <c r="AA166" s="148">
        <v>540.06451612903231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102917.25806451611</v>
      </c>
      <c r="AJ166" s="252">
        <f>+AJ165</f>
        <v>113869</v>
      </c>
    </row>
    <row r="167" spans="3:36" x14ac:dyDescent="0.25">
      <c r="C167" s="182">
        <f t="shared" si="16"/>
        <v>2007.3333280000079</v>
      </c>
      <c r="D167" s="152">
        <v>39173</v>
      </c>
      <c r="E167" s="148">
        <v>812.7</v>
      </c>
      <c r="F167" s="148">
        <v>533.76666666666665</v>
      </c>
      <c r="G167" s="148">
        <v>867.4</v>
      </c>
      <c r="H167" s="148">
        <f>39250/30</f>
        <v>1308.3333333333333</v>
      </c>
      <c r="I167" s="148">
        <v>159.80000000000001</v>
      </c>
      <c r="J167" s="301">
        <f>90267/30</f>
        <v>3008.9</v>
      </c>
      <c r="K167" s="301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x14ac:dyDescent="0.25">
      <c r="C168" s="182">
        <f t="shared" si="16"/>
        <v>2007.4166613000079</v>
      </c>
      <c r="D168" s="152">
        <v>39203</v>
      </c>
      <c r="E168" s="156">
        <f>27814/31</f>
        <v>897.22580645161293</v>
      </c>
      <c r="F168" s="156">
        <f>16066/31</f>
        <v>518.25806451612902</v>
      </c>
      <c r="G168" s="148">
        <f>33149/31</f>
        <v>1069.3225806451612</v>
      </c>
      <c r="H168" s="155">
        <f>44764/31</f>
        <v>1444</v>
      </c>
      <c r="I168" s="156">
        <f>6754/31</f>
        <v>217.87096774193549</v>
      </c>
      <c r="J168" s="301">
        <f>91935/31</f>
        <v>2965.6451612903224</v>
      </c>
      <c r="K168" s="301"/>
      <c r="L168" s="156">
        <f>8268/31</f>
        <v>266.70967741935482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77.161290322580641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361.87096774193549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x14ac:dyDescent="0.2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512.06666666666672</v>
      </c>
      <c r="G169" s="148">
        <f>27660/30</f>
        <v>922</v>
      </c>
      <c r="H169" s="156">
        <f>43522/30</f>
        <v>1450.7333333333333</v>
      </c>
      <c r="I169" s="156">
        <v>169.7</v>
      </c>
      <c r="J169" s="301">
        <f>87309/30</f>
        <v>2910.3</v>
      </c>
      <c r="K169" s="301"/>
      <c r="L169" s="156">
        <v>272.10000000000002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70.833333333333329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t="shared" ref="AJ169:AJ175" si="18">+AJ168</f>
        <v>113869</v>
      </c>
    </row>
    <row r="170" spans="3:36" x14ac:dyDescent="0.25">
      <c r="C170" s="182">
        <f t="shared" si="16"/>
        <v>2007.583327900008</v>
      </c>
      <c r="D170" s="152">
        <v>39264</v>
      </c>
      <c r="E170" s="156">
        <f>27640/31</f>
        <v>891.61290322580646</v>
      </c>
      <c r="F170" s="156">
        <v>560</v>
      </c>
      <c r="G170" s="156">
        <v>908.22580645161293</v>
      </c>
      <c r="H170" s="156">
        <f>44203/31</f>
        <v>1425.9032258064517</v>
      </c>
      <c r="I170" s="156">
        <v>143.58064516129033</v>
      </c>
      <c r="J170" s="301">
        <f>90019/31</f>
        <v>2903.8387096774195</v>
      </c>
      <c r="K170" s="301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62.967741935483872</v>
      </c>
      <c r="S170" s="156">
        <f>346162/31</f>
        <v>11166.516129032258</v>
      </c>
      <c r="T170" s="156"/>
      <c r="U170" s="156">
        <f>535440/31</f>
        <v>17272.258064516129</v>
      </c>
      <c r="V170" s="156"/>
      <c r="W170" s="156">
        <f>837386/31</f>
        <v>27012.451612903227</v>
      </c>
      <c r="X170" s="156">
        <f>1133924/31</f>
        <v>36578.193548387098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x14ac:dyDescent="0.25">
      <c r="C171" s="182">
        <f t="shared" si="16"/>
        <v>2007.6666612000081</v>
      </c>
      <c r="D171" s="152">
        <v>39295</v>
      </c>
      <c r="E171" s="156">
        <f>24742/31</f>
        <v>798.12903225806451</v>
      </c>
      <c r="F171" s="156">
        <v>590.29032258064512</v>
      </c>
      <c r="G171" s="156">
        <v>947.35483870967744</v>
      </c>
      <c r="H171" s="156">
        <f>57029/31</f>
        <v>1839.6451612903227</v>
      </c>
      <c r="I171" s="156">
        <v>137.2258064516129</v>
      </c>
      <c r="J171" s="301">
        <f>89184/31</f>
        <v>2876.9032258064517</v>
      </c>
      <c r="K171" s="301"/>
      <c r="L171" s="156">
        <v>268.32258064516128</v>
      </c>
      <c r="M171" s="156">
        <f>411277/31</f>
        <v>13267</v>
      </c>
      <c r="N171" s="156"/>
      <c r="O171" s="156">
        <v>0.77419354838709675</v>
      </c>
      <c r="P171" s="156"/>
      <c r="Q171" s="156">
        <v>18.774193548387096</v>
      </c>
      <c r="R171" s="156">
        <v>54.29032258064516</v>
      </c>
      <c r="S171" s="156">
        <f>301436/31</f>
        <v>9723.7419354838712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27186.903225806451</v>
      </c>
      <c r="Y171" s="156"/>
      <c r="Z171" s="156"/>
      <c r="AA171" s="156">
        <v>671.09677419354841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x14ac:dyDescent="0.25">
      <c r="C172" s="182">
        <f t="shared" si="16"/>
        <v>2007.7499945000081</v>
      </c>
      <c r="D172" s="152">
        <v>39326</v>
      </c>
      <c r="E172" s="156">
        <f>25027/30</f>
        <v>834.23333333333335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301">
        <f>86428/30</f>
        <v>2880.9333333333334</v>
      </c>
      <c r="K172" s="301"/>
      <c r="L172" s="156">
        <f>8015/30</f>
        <v>267.16666666666669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35256.199999999997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x14ac:dyDescent="0.2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546.64516129032256</v>
      </c>
      <c r="G173" s="156">
        <f>40251/31</f>
        <v>1298.4193548387098</v>
      </c>
      <c r="H173" s="156">
        <f>60333/31</f>
        <v>1946.2258064516129</v>
      </c>
      <c r="I173" s="156">
        <v>165.35483870967741</v>
      </c>
      <c r="J173" s="301">
        <f>87919/31</f>
        <v>2836.0967741935483</v>
      </c>
      <c r="K173" s="301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42.612903225806448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36224.548387096773</v>
      </c>
      <c r="Y173" s="148"/>
      <c r="Z173" s="148"/>
      <c r="AA173" s="148">
        <f>14437/31</f>
        <v>465.70967741935482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x14ac:dyDescent="0.2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301">
        <f>84130/30</f>
        <v>2804.3333333333335</v>
      </c>
      <c r="K174" s="301"/>
      <c r="L174" s="156">
        <f>7857/30</f>
        <v>261.89999999999998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x14ac:dyDescent="0.2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674.93548387096769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301">
        <f>82208/31</f>
        <v>2651.8709677419356</v>
      </c>
      <c r="K175" s="301"/>
      <c r="L175" s="156">
        <f>7761/31</f>
        <v>250.35483870967741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927.25806451612902</v>
      </c>
      <c r="U175" s="156">
        <f>531766/31</f>
        <v>17153.741935483871</v>
      </c>
      <c r="V175" s="156"/>
      <c r="W175" s="156">
        <f>756499/31</f>
        <v>24403.193548387098</v>
      </c>
      <c r="X175" s="156">
        <f>1115578/31</f>
        <v>35986.387096774197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118235.77419354839</v>
      </c>
      <c r="AJ175" s="252">
        <f t="shared" si="18"/>
        <v>113869</v>
      </c>
    </row>
    <row r="176" spans="3:36" x14ac:dyDescent="0.25">
      <c r="C176" s="182">
        <f t="shared" si="16"/>
        <v>2008.0833277000083</v>
      </c>
      <c r="D176" s="152">
        <v>39448</v>
      </c>
      <c r="E176" s="156">
        <f>27460/31</f>
        <v>885.80645161290317</v>
      </c>
      <c r="F176" s="156">
        <f>19191/31</f>
        <v>619.06451612903231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301">
        <f>86419/31</f>
        <v>2787.7096774193546</v>
      </c>
      <c r="K176" s="301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944.32258064516134</v>
      </c>
      <c r="U176" s="156">
        <f>523996/31</f>
        <v>16903.096774193549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344.25806451612902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x14ac:dyDescent="0.25">
      <c r="C177" s="182">
        <f t="shared" si="16"/>
        <v>2008.1666610000084</v>
      </c>
      <c r="D177" s="152">
        <v>39479</v>
      </c>
      <c r="E177" s="156">
        <f>24932/29</f>
        <v>859.72413793103453</v>
      </c>
      <c r="F177" s="156">
        <f>18208/29</f>
        <v>627.86206896551721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301">
        <f>74593/29</f>
        <v>2572.1724137931033</v>
      </c>
      <c r="K177" s="301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19.931034482758619</v>
      </c>
      <c r="R177" s="155">
        <f>1189/29</f>
        <v>41</v>
      </c>
      <c r="S177" s="156">
        <f>311917/29</f>
        <v>10755.758620689656</v>
      </c>
      <c r="T177" s="156">
        <f>27704/29</f>
        <v>955.31034482758616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34713.448275862072</v>
      </c>
      <c r="Y177" s="156"/>
      <c r="Z177" s="156"/>
      <c r="AA177" s="156">
        <f>11246/29</f>
        <v>387.79310344827587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t="shared" ref="AJ177:AJ187" si="19">+AJ176</f>
        <v>120028</v>
      </c>
    </row>
    <row r="178" spans="3:36" x14ac:dyDescent="0.25">
      <c r="C178" s="182">
        <f t="shared" si="16"/>
        <v>2008.2499943000084</v>
      </c>
      <c r="D178" s="152">
        <v>39508</v>
      </c>
      <c r="E178" s="148">
        <v>942.70967741935488</v>
      </c>
      <c r="F178" s="148">
        <v>645.22580645161293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98">
        <f>85577/31</f>
        <v>2760.5483870967741</v>
      </c>
      <c r="K178" s="298"/>
      <c r="L178" s="148">
        <v>253.64516129032259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95754.709677419363</v>
      </c>
      <c r="AJ178" s="252">
        <f t="shared" si="19"/>
        <v>120028</v>
      </c>
    </row>
    <row r="179" spans="3:36" x14ac:dyDescent="0.2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736.13333333333333</v>
      </c>
      <c r="G179" s="148">
        <f>34443/30</f>
        <v>1148.0999999999999</v>
      </c>
      <c r="H179" s="148">
        <f>51412/30</f>
        <v>1713.7333333333333</v>
      </c>
      <c r="I179" s="148">
        <f>5491/30</f>
        <v>183.03333333333333</v>
      </c>
      <c r="J179" s="298">
        <f>82758/30</f>
        <v>2758.6</v>
      </c>
      <c r="K179" s="298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18.899999999999999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35851.800000000003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2736.2666666666669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x14ac:dyDescent="0.2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729.74193548387098</v>
      </c>
      <c r="G180" s="148">
        <v>1041.8064516129032</v>
      </c>
      <c r="H180" s="148">
        <f>46262/31</f>
        <v>1492.3225806451612</v>
      </c>
      <c r="I180" s="148">
        <v>214.19354838709677</v>
      </c>
      <c r="J180" s="301">
        <f>85851/31</f>
        <v>2769.3870967741937</v>
      </c>
      <c r="K180" s="301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38.967741935483872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23602.419354838708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x14ac:dyDescent="0.2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739.66666666666663</v>
      </c>
      <c r="G181" s="148">
        <f>34861/30</f>
        <v>1162.0333333333333</v>
      </c>
      <c r="H181" s="148">
        <f>57560/30</f>
        <v>1918.6666666666667</v>
      </c>
      <c r="I181" s="148">
        <v>257.33333333333331</v>
      </c>
      <c r="J181" s="301">
        <f>87560/30</f>
        <v>2918.6666666666665</v>
      </c>
      <c r="K181" s="301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34.466666666666669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x14ac:dyDescent="0.25">
      <c r="C182" s="182">
        <f t="shared" si="16"/>
        <v>2008.5833275000086</v>
      </c>
      <c r="D182" s="152">
        <v>39630</v>
      </c>
      <c r="E182" s="148">
        <f>28258/31</f>
        <v>911.54838709677415</v>
      </c>
      <c r="F182" s="148">
        <v>719.74193548387098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301">
        <f>88738/31</f>
        <v>2862.516129032258</v>
      </c>
      <c r="K182" s="301"/>
      <c r="L182" s="148">
        <v>274.87096774193549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4571.4193548387093</v>
      </c>
      <c r="U182" s="148">
        <f>486608/31</f>
        <v>15697.032258064517</v>
      </c>
      <c r="V182" s="148"/>
      <c r="W182" s="148">
        <f>715300/31</f>
        <v>23074.193548387098</v>
      </c>
      <c r="X182" s="148">
        <f>1097799/31</f>
        <v>35412.870967741932</v>
      </c>
      <c r="Y182" s="148"/>
      <c r="Z182" s="148"/>
      <c r="AA182" s="148">
        <v>401.90322580645159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x14ac:dyDescent="0.25">
      <c r="C183" s="182">
        <f t="shared" si="16"/>
        <v>2008.6666608000087</v>
      </c>
      <c r="D183" s="152">
        <v>39661</v>
      </c>
      <c r="E183" s="148">
        <v>897.93548387096769</v>
      </c>
      <c r="F183" s="148">
        <v>657.83870967741939</v>
      </c>
      <c r="G183" s="148">
        <f>66642/31</f>
        <v>2149.7419354838707</v>
      </c>
      <c r="H183" s="148">
        <f>48587/31</f>
        <v>1567.3225806451612</v>
      </c>
      <c r="I183" s="148">
        <v>221.45161290322579</v>
      </c>
      <c r="J183" s="298">
        <f>88926/31</f>
        <v>2868.5806451612902</v>
      </c>
      <c r="K183" s="298"/>
      <c r="L183" s="148">
        <v>271.54838709677421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34.741935483870968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22064.903225806451</v>
      </c>
      <c r="X183" s="148">
        <f>998153/31</f>
        <v>32198.483870967742</v>
      </c>
      <c r="Y183" s="148"/>
      <c r="Z183" s="148"/>
      <c r="AA183" s="148">
        <f>14932/31</f>
        <v>481.67741935483872</v>
      </c>
      <c r="AB183" s="148">
        <f>3556/31</f>
        <v>114.70967741935483</v>
      </c>
      <c r="AC183" s="148">
        <f>84229/31</f>
        <v>2717.0645161290322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x14ac:dyDescent="0.2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2379.1999999999998</v>
      </c>
      <c r="H184" s="148">
        <f>44224/30</f>
        <v>1474.1333333333334</v>
      </c>
      <c r="I184" s="148">
        <v>221.56666666666666</v>
      </c>
      <c r="J184" s="298">
        <f>86401/30</f>
        <v>2880.0333333333333</v>
      </c>
      <c r="K184" s="298"/>
      <c r="L184" s="148">
        <v>267.36666666666667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x14ac:dyDescent="0.2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98">
        <v>2812</v>
      </c>
      <c r="K185" s="298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33.838709677419352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34168.387096774197</v>
      </c>
      <c r="Z185" s="148"/>
      <c r="AA185" s="148">
        <f>11488/31</f>
        <v>370.58064516129031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141525.96774193551</v>
      </c>
      <c r="AJ185" s="252">
        <f t="shared" si="19"/>
        <v>120028</v>
      </c>
    </row>
    <row r="186" spans="3:36" x14ac:dyDescent="0.2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3691.6333333333332</v>
      </c>
      <c r="H186" s="148">
        <f>42462/30</f>
        <v>1415.4</v>
      </c>
      <c r="I186" s="148">
        <f>5979/30</f>
        <v>199.3</v>
      </c>
      <c r="J186" s="298">
        <f>80326/30</f>
        <v>2677.5333333333333</v>
      </c>
      <c r="K186" s="298"/>
      <c r="L186" s="148">
        <f>8778/30</f>
        <v>292.60000000000002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65.333333333333329</v>
      </c>
      <c r="AC186" s="148">
        <f>73326/30</f>
        <v>2444.1999999999998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x14ac:dyDescent="0.25">
      <c r="C187" s="182">
        <f t="shared" si="16"/>
        <v>2008.9999940000089</v>
      </c>
      <c r="D187" s="152">
        <v>39783</v>
      </c>
      <c r="E187" s="148">
        <f>25961/31</f>
        <v>837.45161290322585</v>
      </c>
      <c r="F187" s="148">
        <v>719.83870967741939</v>
      </c>
      <c r="G187" s="148">
        <f>137822/31</f>
        <v>4445.8709677419356</v>
      </c>
      <c r="H187" s="148">
        <f>41643/31</f>
        <v>1343.3225806451612</v>
      </c>
      <c r="I187" s="148">
        <f>5602/31</f>
        <v>180.70967741935485</v>
      </c>
      <c r="J187" s="298">
        <f>79547/31</f>
        <v>2566.0322580645161</v>
      </c>
      <c r="K187" s="298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34.161290322580648</v>
      </c>
      <c r="S187" s="148">
        <f>277610/31</f>
        <v>8955.1612903225814</v>
      </c>
      <c r="T187" s="148">
        <f>165068/31</f>
        <v>5324.7741935483873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30334.741935483871</v>
      </c>
      <c r="Y187" s="148">
        <f>1072348/31</f>
        <v>34591.870967741932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x14ac:dyDescent="0.25">
      <c r="C188" s="182">
        <f t="shared" ref="C188:C205" si="20">+C187+0.0833333</f>
        <v>2009.0833273000089</v>
      </c>
      <c r="D188" s="152">
        <v>39814</v>
      </c>
      <c r="E188" s="148">
        <f>26268/31</f>
        <v>847.35483870967744</v>
      </c>
      <c r="F188" s="148">
        <f>20763/31</f>
        <v>669.77419354838707</v>
      </c>
      <c r="G188" s="148">
        <f>159814/31</f>
        <v>5155.2903225806449</v>
      </c>
      <c r="H188" s="148">
        <f>39787/31</f>
        <v>1283.4516129032259</v>
      </c>
      <c r="I188" s="148">
        <f>5691/31</f>
        <v>183.58064516129033</v>
      </c>
      <c r="J188" s="298">
        <f>84836/31</f>
        <v>2736.6451612903224</v>
      </c>
      <c r="K188" s="298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36.161290322580648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264.09677419354841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148439.83870967739</v>
      </c>
      <c r="AJ188" s="252">
        <v>145280</v>
      </c>
    </row>
    <row r="189" spans="3:36" x14ac:dyDescent="0.25">
      <c r="C189" s="182">
        <f t="shared" si="20"/>
        <v>2009.166660600009</v>
      </c>
      <c r="D189" s="152">
        <v>39845</v>
      </c>
      <c r="E189" s="148">
        <f>23332/28</f>
        <v>833.28571428571433</v>
      </c>
      <c r="F189" s="148">
        <f>18470/28</f>
        <v>659.64285714285711</v>
      </c>
      <c r="G189" s="148">
        <f>135801/28</f>
        <v>4850.0357142857147</v>
      </c>
      <c r="H189" s="148">
        <f>35764/28</f>
        <v>1277.2857142857142</v>
      </c>
      <c r="I189" s="148">
        <f>4464/28</f>
        <v>159.42857142857142</v>
      </c>
      <c r="J189" s="298">
        <f>77894/28</f>
        <v>2781.9285714285716</v>
      </c>
      <c r="K189" s="298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31040.642857142859</v>
      </c>
      <c r="Y189" s="148">
        <f>968018/28</f>
        <v>34572.071428571428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141201.53571428571</v>
      </c>
      <c r="AJ189" s="252">
        <f t="shared" ref="AJ189:AJ207" si="21">+AJ188</f>
        <v>145280</v>
      </c>
    </row>
    <row r="190" spans="3:36" x14ac:dyDescent="0.25">
      <c r="C190" s="182">
        <f t="shared" si="20"/>
        <v>2009.249993900009</v>
      </c>
      <c r="D190" s="152">
        <v>39873</v>
      </c>
      <c r="E190" s="148">
        <f>24999/31</f>
        <v>806.41935483870964</v>
      </c>
      <c r="F190" s="148">
        <f>20242/31</f>
        <v>652.9677419354839</v>
      </c>
      <c r="G190" s="148">
        <f>151809/31</f>
        <v>4897.0645161290322</v>
      </c>
      <c r="H190" s="148">
        <f>38367/31</f>
        <v>1237.6451612903227</v>
      </c>
      <c r="I190" s="148">
        <f>5380/31</f>
        <v>173.54838709677421</v>
      </c>
      <c r="J190" s="298">
        <f>85996/31</f>
        <v>2774.0645161290322</v>
      </c>
      <c r="K190" s="298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33207.838709677417</v>
      </c>
      <c r="Y190" s="148">
        <f>1084999/31</f>
        <v>34999.967741935485</v>
      </c>
      <c r="Z190" s="148"/>
      <c r="AA190" s="148">
        <f>11945/31</f>
        <v>385.32258064516128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x14ac:dyDescent="0.25">
      <c r="C191" s="182">
        <f t="shared" si="20"/>
        <v>2009.3333272000091</v>
      </c>
      <c r="D191" s="152">
        <v>39904</v>
      </c>
      <c r="E191" s="148">
        <f>24358/30</f>
        <v>811.93333333333328</v>
      </c>
      <c r="F191" s="148">
        <f>19594/30</f>
        <v>653.13333333333333</v>
      </c>
      <c r="G191" s="148">
        <f>135941/30</f>
        <v>4531.3666666666668</v>
      </c>
      <c r="H191" s="148">
        <f>37792/30</f>
        <v>1259.7333333333333</v>
      </c>
      <c r="I191" s="148">
        <f>4976/30</f>
        <v>165.86666666666667</v>
      </c>
      <c r="J191" s="298">
        <f>79835/30</f>
        <v>2661.1666666666665</v>
      </c>
      <c r="K191" s="298"/>
      <c r="L191" s="148">
        <f>7790/30</f>
        <v>259.66666666666669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x14ac:dyDescent="0.25">
      <c r="C192" s="182">
        <f t="shared" si="20"/>
        <v>2009.4166605000091</v>
      </c>
      <c r="D192" s="152">
        <v>39934</v>
      </c>
      <c r="E192" s="148">
        <f>25566/31</f>
        <v>824.70967741935488</v>
      </c>
      <c r="F192" s="148">
        <f>20461/31</f>
        <v>660.0322580645161</v>
      </c>
      <c r="G192" s="148">
        <f>141067/31</f>
        <v>4550.5483870967746</v>
      </c>
      <c r="H192" s="148">
        <f>37494/31</f>
        <v>1209.483870967742</v>
      </c>
      <c r="I192" s="148">
        <f>5230/31</f>
        <v>168.70967741935485</v>
      </c>
      <c r="J192" s="298">
        <f>85955/31</f>
        <v>2772.7419354838707</v>
      </c>
      <c r="K192" s="298"/>
      <c r="L192" s="148">
        <f>8082/31</f>
        <v>260.70967741935482</v>
      </c>
      <c r="M192" s="148">
        <f>409390/31</f>
        <v>13206.129032258064</v>
      </c>
      <c r="N192" s="148"/>
      <c r="O192" s="148">
        <f>125892/31</f>
        <v>4061.0322580645161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34288.387096774197</v>
      </c>
      <c r="Y192" s="148">
        <f>1128986/31</f>
        <v>36418.903225806454</v>
      </c>
      <c r="Z192" s="148"/>
      <c r="AA192" s="148">
        <f>11218/31</f>
        <v>361.87096774193549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63" x14ac:dyDescent="0.2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673.26666666666665</v>
      </c>
      <c r="G193" s="148">
        <f>123253/30</f>
        <v>4108.4333333333334</v>
      </c>
      <c r="H193" s="148">
        <f>34743/30</f>
        <v>1158.0999999999999</v>
      </c>
      <c r="I193" s="148">
        <f>5168/30</f>
        <v>172.26666666666668</v>
      </c>
      <c r="J193" s="298">
        <f>83911/30</f>
        <v>2797.0333333333333</v>
      </c>
      <c r="K193" s="298"/>
      <c r="L193" s="148">
        <f>7789/30</f>
        <v>259.63333333333333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41.866666666666667</v>
      </c>
      <c r="S193" s="148">
        <f>251011/30</f>
        <v>8367.0333333333328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34741.133333333331</v>
      </c>
      <c r="Y193" s="148">
        <f>1091616/30</f>
        <v>36387.199999999997</v>
      </c>
      <c r="Z193" s="148"/>
      <c r="AA193" s="148">
        <f>9124/30</f>
        <v>304.13333333333333</v>
      </c>
      <c r="AB193" s="148">
        <f>1399/30</f>
        <v>46.633333333333333</v>
      </c>
      <c r="AC193" s="148">
        <f>67641/30</f>
        <v>2254.6999999999998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63" x14ac:dyDescent="0.25">
      <c r="C194" s="182">
        <f t="shared" si="20"/>
        <v>2009.5833271000092</v>
      </c>
      <c r="D194" s="152">
        <v>39995</v>
      </c>
      <c r="E194" s="148">
        <f>24682/31</f>
        <v>796.19354838709683</v>
      </c>
      <c r="F194" s="158">
        <f>20152/31</f>
        <v>650.06451612903231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98">
        <f>84624/31</f>
        <v>2729.8064516129034</v>
      </c>
      <c r="K194" s="298"/>
      <c r="L194" s="148">
        <f>8208/31</f>
        <v>264.77419354838707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39.741935483870968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39845.451612903227</v>
      </c>
      <c r="Y194" s="148">
        <f>1063607/31</f>
        <v>34309.903225806454</v>
      </c>
      <c r="Z194" s="148"/>
      <c r="AA194" s="148">
        <f>11629/31</f>
        <v>375.12903225806451</v>
      </c>
      <c r="AB194" s="148">
        <f>4626/31</f>
        <v>149.2258064516129</v>
      </c>
      <c r="AC194" s="148">
        <f>86957/31</f>
        <v>2805.0645161290322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63" x14ac:dyDescent="0.25">
      <c r="C195" s="182">
        <f t="shared" si="20"/>
        <v>2009.6666604000093</v>
      </c>
      <c r="D195" s="152">
        <v>40026</v>
      </c>
      <c r="E195" s="148">
        <f>25484/31</f>
        <v>822.06451612903231</v>
      </c>
      <c r="F195" s="148">
        <v>644.93548387096769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98">
        <f>90419/31</f>
        <v>2916.7419354838707</v>
      </c>
      <c r="K195" s="298"/>
      <c r="L195" s="148">
        <v>256.67741935483872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40.741935483870968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17842.096774193549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147233.54838709679</v>
      </c>
      <c r="AJ195" s="252">
        <f t="shared" si="21"/>
        <v>145280</v>
      </c>
    </row>
    <row r="196" spans="3:63" x14ac:dyDescent="0.25">
      <c r="C196" s="182">
        <f t="shared" si="20"/>
        <v>2009.7499937000093</v>
      </c>
      <c r="D196" s="152">
        <v>40057</v>
      </c>
      <c r="E196" s="148">
        <f>24770/30</f>
        <v>825.66666666666663</v>
      </c>
      <c r="F196" s="148">
        <f>19078/30</f>
        <v>635.93333333333328</v>
      </c>
      <c r="G196" s="148">
        <f>95066/30</f>
        <v>3168.8666666666668</v>
      </c>
      <c r="H196" s="148">
        <f>32786/30</f>
        <v>1092.8666666666666</v>
      </c>
      <c r="I196" s="148">
        <f>5001/30</f>
        <v>166.7</v>
      </c>
      <c r="J196" s="298">
        <f>90750/30</f>
        <v>3025</v>
      </c>
      <c r="K196" s="298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2663.7666666666669</v>
      </c>
      <c r="P196" s="148"/>
      <c r="Q196" s="148">
        <f>567/30</f>
        <v>18.899999999999999</v>
      </c>
      <c r="R196" s="148">
        <f>1264/30</f>
        <v>42.133333333333333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40851.533333333333</v>
      </c>
      <c r="Y196" s="148">
        <f>998844/30</f>
        <v>33294.800000000003</v>
      </c>
      <c r="Z196" s="148"/>
      <c r="AA196" s="148">
        <f>9141/30</f>
        <v>304.7</v>
      </c>
      <c r="AB196" s="148">
        <f>2656/30</f>
        <v>88.533333333333331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63" x14ac:dyDescent="0.25">
      <c r="C197" s="182">
        <f t="shared" si="20"/>
        <v>2009.8333270000094</v>
      </c>
      <c r="D197" s="152">
        <v>40087</v>
      </c>
      <c r="E197" s="148">
        <v>803.25806451612902</v>
      </c>
      <c r="F197" s="148">
        <v>624.90322580645159</v>
      </c>
      <c r="G197" s="148">
        <f>97765/31</f>
        <v>3153.7096774193546</v>
      </c>
      <c r="H197" s="148">
        <v>1052.9677419354839</v>
      </c>
      <c r="I197" s="148">
        <v>155.64516129032259</v>
      </c>
      <c r="J197" s="298">
        <f>107300/31</f>
        <v>3461.2903225806454</v>
      </c>
      <c r="K197" s="298"/>
      <c r="L197" s="148">
        <v>248.87096774193549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64.225806451612897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18477.580645161292</v>
      </c>
      <c r="X197" s="148">
        <f>1221610/31</f>
        <v>39406.774193548386</v>
      </c>
      <c r="Y197" s="148">
        <f>1060820/31</f>
        <v>34220</v>
      </c>
      <c r="Z197" s="148"/>
      <c r="AA197" s="148">
        <f>12011/31</f>
        <v>387.45161290322579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63" x14ac:dyDescent="0.25">
      <c r="C198" s="182">
        <f t="shared" si="20"/>
        <v>2009.9166603000094</v>
      </c>
      <c r="D198" s="152">
        <v>40118</v>
      </c>
      <c r="E198" s="148">
        <v>806.43333333333328</v>
      </c>
      <c r="F198" s="148">
        <v>602.63333333333333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98">
        <f>108534/30</f>
        <v>3617.8</v>
      </c>
      <c r="K198" s="298"/>
      <c r="L198" s="148">
        <v>248.13333333333333</v>
      </c>
      <c r="M198" s="148">
        <f>390209/30</f>
        <v>13006.966666666667</v>
      </c>
      <c r="N198" s="148"/>
      <c r="O198" s="148">
        <f>89666/30</f>
        <v>2988.8666666666668</v>
      </c>
      <c r="P198" s="148"/>
      <c r="Q198" s="148">
        <v>19.2</v>
      </c>
      <c r="R198" s="148">
        <v>62.466666666666669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42382.866666666669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63" x14ac:dyDescent="0.25">
      <c r="C199" s="182">
        <f t="shared" si="20"/>
        <v>2009.9999936000095</v>
      </c>
      <c r="D199" s="152">
        <v>40148</v>
      </c>
      <c r="E199" s="148">
        <v>826.25806451612902</v>
      </c>
      <c r="F199" s="148">
        <v>611</v>
      </c>
      <c r="G199" s="148">
        <f>117597/31</f>
        <v>3793.4516129032259</v>
      </c>
      <c r="H199" s="148">
        <v>1035</v>
      </c>
      <c r="I199" s="148">
        <v>173.48387096774192</v>
      </c>
      <c r="J199" s="298">
        <f>103950/31</f>
        <v>3353.2258064516127</v>
      </c>
      <c r="K199" s="298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58.612903225806448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19356.806451612902</v>
      </c>
      <c r="X199" s="148">
        <f>1338558/31</f>
        <v>43179.290322580644</v>
      </c>
      <c r="Y199" s="148">
        <f>1076583/31</f>
        <v>34728.483870967742</v>
      </c>
      <c r="Z199" s="148"/>
      <c r="AA199" s="148">
        <f>9333/31</f>
        <v>301.06451612903226</v>
      </c>
      <c r="AB199" s="148">
        <f>2435/31</f>
        <v>78.548387096774192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152960.19354838709</v>
      </c>
      <c r="AJ199" s="252">
        <f t="shared" si="21"/>
        <v>145280</v>
      </c>
    </row>
    <row r="200" spans="3:63" x14ac:dyDescent="0.25">
      <c r="C200" s="182">
        <f t="shared" si="20"/>
        <v>2010.0833269000095</v>
      </c>
      <c r="D200" s="152">
        <v>40179</v>
      </c>
      <c r="E200" s="148">
        <v>894.93548387096769</v>
      </c>
      <c r="F200" s="148">
        <v>608.38709677419354</v>
      </c>
      <c r="G200" s="148">
        <f>120555/31</f>
        <v>3888.8709677419356</v>
      </c>
      <c r="H200" s="148">
        <v>1033.3548387096773</v>
      </c>
      <c r="I200" s="148">
        <v>228.87096774193549</v>
      </c>
      <c r="J200" s="298">
        <f>120268/31</f>
        <v>3879.6129032258063</v>
      </c>
      <c r="K200" s="298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3665.4516129032259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33108.774193548386</v>
      </c>
      <c r="Z200" s="148"/>
      <c r="AA200" s="148">
        <v>380.87096774193549</v>
      </c>
      <c r="AB200" s="148">
        <v>115.25806451612904</v>
      </c>
      <c r="AC200" s="148">
        <f>84089/31</f>
        <v>2712.5483870967741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63" s="138" customFormat="1" x14ac:dyDescent="0.25">
      <c r="C201" s="182">
        <f t="shared" si="20"/>
        <v>2010.1666602000096</v>
      </c>
      <c r="D201" s="152">
        <v>40210</v>
      </c>
      <c r="E201" s="148">
        <f>23979/28</f>
        <v>856.39285714285711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98">
        <f>93325/28</f>
        <v>3333.0357142857142</v>
      </c>
      <c r="K201" s="298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5486.9285714285716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4407.9642857142853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446.28571428571428</v>
      </c>
      <c r="AB201" s="148">
        <v>116.92857142857143</v>
      </c>
      <c r="AC201" s="148">
        <f>78007/28</f>
        <v>2785.9642857142858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63" s="138" customFormat="1" x14ac:dyDescent="0.25">
      <c r="C202" s="182">
        <f t="shared" si="20"/>
        <v>2010.2499935000096</v>
      </c>
      <c r="D202" s="152">
        <v>40238</v>
      </c>
      <c r="E202" s="148">
        <v>865.77419354838707</v>
      </c>
      <c r="F202" s="148">
        <v>414.25806451612902</v>
      </c>
      <c r="G202" s="148">
        <f>83981/31</f>
        <v>2709.0645161290322</v>
      </c>
      <c r="H202" s="148">
        <v>990.80645161290317</v>
      </c>
      <c r="I202" s="148">
        <v>184.54838709677421</v>
      </c>
      <c r="J202" s="298">
        <f>109834/31</f>
        <v>3543.0322580645161</v>
      </c>
      <c r="K202" s="298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45471.419354838712</v>
      </c>
      <c r="Y202" s="148">
        <f>1042409/31</f>
        <v>33626.096774193546</v>
      </c>
      <c r="Z202" s="148"/>
      <c r="AA202" s="148">
        <v>330.74193548387098</v>
      </c>
      <c r="AB202" s="148">
        <v>121.80645161290323</v>
      </c>
      <c r="AC202" s="148">
        <f>84166/31</f>
        <v>2715.0322580645161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63" s="138" customFormat="1" x14ac:dyDescent="0.25">
      <c r="C203" s="182">
        <f t="shared" si="20"/>
        <v>2010.3333268000097</v>
      </c>
      <c r="D203" s="152">
        <v>40269</v>
      </c>
      <c r="E203" s="148">
        <f>25672/30</f>
        <v>855.73333333333335</v>
      </c>
      <c r="F203" s="148">
        <v>600.9666666666667</v>
      </c>
      <c r="G203" s="148">
        <f>78911/30</f>
        <v>2630.3666666666668</v>
      </c>
      <c r="H203" s="148">
        <v>978.5</v>
      </c>
      <c r="I203" s="148">
        <v>171.1</v>
      </c>
      <c r="J203" s="298">
        <f>110030/30</f>
        <v>3667.6666666666665</v>
      </c>
      <c r="K203" s="298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67.099999999999994</v>
      </c>
      <c r="S203" s="148">
        <f>(362506+38480)/30</f>
        <v>13366.2</v>
      </c>
      <c r="T203" s="148">
        <f>165199/30</f>
        <v>5506.6333333333332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156001.29999999999</v>
      </c>
      <c r="AJ203" s="254">
        <f t="shared" si="21"/>
        <v>157159</v>
      </c>
    </row>
    <row r="204" spans="3:63" x14ac:dyDescent="0.25">
      <c r="C204" s="182">
        <f t="shared" si="20"/>
        <v>2010.4166601000097</v>
      </c>
      <c r="D204" s="152">
        <v>40299</v>
      </c>
      <c r="E204" s="148">
        <v>845.16129032258061</v>
      </c>
      <c r="F204" s="148">
        <v>650.19354838709683</v>
      </c>
      <c r="G204" s="148">
        <f>74966/31</f>
        <v>2418.2580645161293</v>
      </c>
      <c r="H204" s="148">
        <v>973.93548387096769</v>
      </c>
      <c r="I204" s="148">
        <v>195.06451612903226</v>
      </c>
      <c r="J204" s="298">
        <f>97085/31</f>
        <v>3131.7741935483873</v>
      </c>
      <c r="K204" s="298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362.70967741935482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63" x14ac:dyDescent="0.2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566.70000000000005</v>
      </c>
      <c r="G205" s="148">
        <f>67094/30</f>
        <v>2236.4666666666667</v>
      </c>
      <c r="H205" s="148">
        <v>961.36666666666667</v>
      </c>
      <c r="I205" s="148">
        <v>209.06666666666666</v>
      </c>
      <c r="J205" s="298">
        <f>106530/30</f>
        <v>3551</v>
      </c>
      <c r="K205" s="298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3965.2333333333331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955.73333333333335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155340.66666666669</v>
      </c>
      <c r="AJ205" s="254">
        <f t="shared" si="21"/>
        <v>157159</v>
      </c>
    </row>
    <row r="206" spans="3:63" x14ac:dyDescent="0.25">
      <c r="C206" s="182">
        <f t="shared" ref="C206:C269" si="22">+C205+0.0833333</f>
        <v>2010.5833267000098</v>
      </c>
      <c r="D206" s="152">
        <v>40360</v>
      </c>
      <c r="E206" s="161">
        <f>33330/31</f>
        <v>1075.1612903225807</v>
      </c>
      <c r="F206" s="161">
        <v>575.70967741935488</v>
      </c>
      <c r="G206" s="161">
        <f>65941/31</f>
        <v>2127.1290322580644</v>
      </c>
      <c r="H206" s="161">
        <v>939.22580645161293</v>
      </c>
      <c r="I206" s="161">
        <v>195.7741935483871</v>
      </c>
      <c r="J206" s="298">
        <f>91473/31</f>
        <v>2950.7419354838707</v>
      </c>
      <c r="K206" s="298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4435.9677419354839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333.58064516129031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157015.80645161291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x14ac:dyDescent="0.25">
      <c r="C207" s="182">
        <f t="shared" si="22"/>
        <v>2010.6666600000099</v>
      </c>
      <c r="D207" s="152">
        <v>40391</v>
      </c>
      <c r="E207" s="161">
        <v>972.25806451612902</v>
      </c>
      <c r="F207" s="161">
        <f>17801/31</f>
        <v>574.22580645161293</v>
      </c>
      <c r="G207" s="161">
        <f>69904/31</f>
        <v>2254.9677419354839</v>
      </c>
      <c r="H207" s="161">
        <f>29581/31</f>
        <v>954.22580645161293</v>
      </c>
      <c r="I207" s="161">
        <f>6124/31</f>
        <v>197.54838709677421</v>
      </c>
      <c r="J207" s="298">
        <f>81817/31</f>
        <v>2639.2580645161293</v>
      </c>
      <c r="K207" s="298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19058.806451612902</v>
      </c>
      <c r="X207" s="161">
        <f>1548446/31</f>
        <v>49949.870967741932</v>
      </c>
      <c r="Y207" s="161">
        <f>1026096/31</f>
        <v>33099.870967741932</v>
      </c>
      <c r="Z207" s="161"/>
      <c r="AA207" s="161">
        <f>11781/31</f>
        <v>380.03225806451616</v>
      </c>
      <c r="AB207" s="161">
        <f>2959/31</f>
        <v>95.451612903225808</v>
      </c>
      <c r="AC207" s="161">
        <f>80415/31</f>
        <v>2594.0322580645161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x14ac:dyDescent="0.25">
      <c r="C208" s="182">
        <f t="shared" si="22"/>
        <v>2010.7499933000099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940.56666666666672</v>
      </c>
      <c r="I208" s="161">
        <v>178.63333333333333</v>
      </c>
      <c r="J208" s="298">
        <f>80223/30</f>
        <v>2674.1</v>
      </c>
      <c r="K208" s="298"/>
      <c r="L208" s="161">
        <v>245.9</v>
      </c>
      <c r="M208" s="161">
        <f>396069/30</f>
        <v>13202.3</v>
      </c>
      <c r="N208" s="161"/>
      <c r="O208" s="161">
        <f>117277/30</f>
        <v>3909.2333333333331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6548.7666666666664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33191.199999999997</v>
      </c>
      <c r="Z208" s="161"/>
      <c r="AA208" s="161">
        <v>289.3</v>
      </c>
      <c r="AB208" s="161">
        <v>96.13333333333334</v>
      </c>
      <c r="AC208" s="161">
        <f>63936/30</f>
        <v>2131.1999999999998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x14ac:dyDescent="0.2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98">
        <f>87966/31</f>
        <v>2837.6129032258063</v>
      </c>
      <c r="K209" s="298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52.322580645161288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17957.806451612902</v>
      </c>
      <c r="X209" s="161">
        <f>1503939/31</f>
        <v>48514.161290322583</v>
      </c>
      <c r="Y209" s="161">
        <f>1045986/31</f>
        <v>33741.483870967742</v>
      </c>
      <c r="Z209" s="161"/>
      <c r="AA209" s="161">
        <v>318.41935483870969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63" x14ac:dyDescent="0.2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581.76666666666665</v>
      </c>
      <c r="G210" s="161">
        <f>106206/30</f>
        <v>3540.2</v>
      </c>
      <c r="H210" s="161">
        <v>953.1</v>
      </c>
      <c r="I210" s="161">
        <v>182.66666666666666</v>
      </c>
      <c r="J210" s="298">
        <f>87026/30</f>
        <v>2900.8666666666668</v>
      </c>
      <c r="K210" s="298"/>
      <c r="L210" s="161">
        <v>233.2</v>
      </c>
      <c r="M210" s="161">
        <f>394580/30</f>
        <v>13152.666666666666</v>
      </c>
      <c r="N210" s="161"/>
      <c r="O210" s="161">
        <f>95464/30</f>
        <v>3182.1333333333332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4339.4666666666662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35258.633333333331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63" x14ac:dyDescent="0.25">
      <c r="C211" s="182">
        <f t="shared" si="22"/>
        <v>2010.9999932000101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98">
        <v>2743</v>
      </c>
      <c r="K211" s="298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63" x14ac:dyDescent="0.25">
      <c r="C212" s="182">
        <f t="shared" si="22"/>
        <v>2011.0833265000101</v>
      </c>
      <c r="D212" s="152">
        <v>40544</v>
      </c>
      <c r="E212" s="148">
        <f>36331/31</f>
        <v>1171.9677419354839</v>
      </c>
      <c r="F212" s="148">
        <v>615.83870967741939</v>
      </c>
      <c r="G212" s="148">
        <f>122118/31</f>
        <v>3939.2903225806454</v>
      </c>
      <c r="H212" s="148">
        <v>930.19354838709683</v>
      </c>
      <c r="I212" s="148">
        <v>169.03225806451613</v>
      </c>
      <c r="J212" s="298">
        <f>84980/31</f>
        <v>2741.2903225806454</v>
      </c>
      <c r="K212" s="298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4453.4516129032254</v>
      </c>
      <c r="P212" s="148"/>
      <c r="Q212" s="148">
        <v>167.64516129032259</v>
      </c>
      <c r="R212" s="148">
        <v>41.322580645161288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47236.870967741932</v>
      </c>
      <c r="Y212" s="148">
        <f>1047653/31</f>
        <v>33795.258064516129</v>
      </c>
      <c r="Z212" s="148"/>
      <c r="AA212" s="148">
        <v>403.12903225806451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t="shared" ref="AI212:AI236" si="23">SUM(E212:AH212)</f>
        <v>156234.22580645161</v>
      </c>
      <c r="AJ212" s="254">
        <v>152716</v>
      </c>
    </row>
    <row r="213" spans="3:63" x14ac:dyDescent="0.25">
      <c r="C213" s="182">
        <f t="shared" si="22"/>
        <v>2011.1666598000102</v>
      </c>
      <c r="D213" s="147">
        <v>40575</v>
      </c>
      <c r="E213" s="148">
        <v>1069.8928571428601</v>
      </c>
      <c r="F213" s="148">
        <v>578.17857142857144</v>
      </c>
      <c r="G213" s="148">
        <f>113010/28</f>
        <v>4036.0714285714284</v>
      </c>
      <c r="H213" s="148">
        <v>888.92857142857144</v>
      </c>
      <c r="I213" s="148">
        <v>161.71428571428572</v>
      </c>
      <c r="J213" s="298">
        <f>81774/28</f>
        <v>2920.5</v>
      </c>
      <c r="K213" s="298"/>
      <c r="L213" s="148">
        <v>232.64285714285714</v>
      </c>
      <c r="M213" s="148">
        <f>366186/28</f>
        <v>13078.071428571429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48.571428571428569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9198.2857142857138</v>
      </c>
      <c r="V213" s="148"/>
      <c r="W213" s="148">
        <f>489468/28</f>
        <v>17481</v>
      </c>
      <c r="X213" s="148">
        <f>1334818/28</f>
        <v>47672.071428571428</v>
      </c>
      <c r="Y213" s="148">
        <f>952119/28</f>
        <v>34004.25</v>
      </c>
      <c r="Z213" s="148"/>
      <c r="AA213" s="148">
        <v>292.28571428571428</v>
      </c>
      <c r="AB213" s="148">
        <v>77.357142857142861</v>
      </c>
      <c r="AC213" s="148">
        <f>69301/28</f>
        <v>2475.0357142857142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63" x14ac:dyDescent="0.2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552.67741935483866</v>
      </c>
      <c r="G214" s="148">
        <f>117238/31</f>
        <v>3781.8709677419356</v>
      </c>
      <c r="H214" s="148">
        <v>888.35483870967744</v>
      </c>
      <c r="I214" s="148">
        <v>148.29032258064515</v>
      </c>
      <c r="J214" s="298">
        <f>87762/31</f>
        <v>2831.0322580645161</v>
      </c>
      <c r="K214" s="298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4818.0645161290322</v>
      </c>
      <c r="U214" s="148">
        <f>382600/31</f>
        <v>12341.935483870968</v>
      </c>
      <c r="V214" s="148"/>
      <c r="W214" s="148">
        <f>559315/31</f>
        <v>18042.419354838708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t="shared" ref="AK214:AK220" si="24">+AI214-AI213</f>
        <v>2466.1440092166304</v>
      </c>
    </row>
    <row r="215" spans="3:63" x14ac:dyDescent="0.2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98">
        <f>82573/30</f>
        <v>2752.4333333333334</v>
      </c>
      <c r="K215" s="298"/>
      <c r="L215" s="148">
        <v>231.2</v>
      </c>
      <c r="M215" s="148">
        <f>392733/30</f>
        <v>13091.1</v>
      </c>
      <c r="N215" s="148"/>
      <c r="O215" s="148">
        <f>106852/30</f>
        <v>3561.7333333333331</v>
      </c>
      <c r="P215" s="148"/>
      <c r="Q215" s="148">
        <v>74.900000000000006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48270.966666666667</v>
      </c>
      <c r="Y215" s="148">
        <f>983586/30</f>
        <v>32786.199999999997</v>
      </c>
      <c r="Z215" s="148"/>
      <c r="AA215" s="148">
        <v>192.36666666666667</v>
      </c>
      <c r="AB215" s="148">
        <v>46.133333333333333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t="shared" ref="AJ215:AJ223" si="25">+AJ214</f>
        <v>152716</v>
      </c>
      <c r="AK215" s="138">
        <f t="shared" si="24"/>
        <v>-4833.489247311838</v>
      </c>
    </row>
    <row r="216" spans="3:63" x14ac:dyDescent="0.2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98">
        <v>2798</v>
      </c>
      <c r="K216" s="298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9918.2258064516136</v>
      </c>
      <c r="V216" s="148"/>
      <c r="W216" s="148">
        <f>560032/31</f>
        <v>18065.548387096773</v>
      </c>
      <c r="X216" s="148">
        <f>1462725/31</f>
        <v>47184.677419354841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63" x14ac:dyDescent="0.2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98">
        <f>88734/30</f>
        <v>2957.8</v>
      </c>
      <c r="K217" s="298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5266.0666666666666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733.44838709672331</v>
      </c>
      <c r="AM217" s="135">
        <f>+AI217*30</f>
        <v>4640186.9999999991</v>
      </c>
    </row>
    <row r="218" spans="3:63" x14ac:dyDescent="0.2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421.22580645161293</v>
      </c>
      <c r="G218" s="148">
        <f>108346/31</f>
        <v>3495.0322580645161</v>
      </c>
      <c r="H218" s="148">
        <v>815.87096774193549</v>
      </c>
      <c r="I218" s="148">
        <v>153.35483870967741</v>
      </c>
      <c r="J218" s="298">
        <f>94911/31</f>
        <v>3061.6451612903224</v>
      </c>
      <c r="K218" s="298"/>
      <c r="L218" s="148">
        <v>223.12903225806451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53.032258064516128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46405.161290322583</v>
      </c>
      <c r="Y218" s="148">
        <f>1054037/31</f>
        <v>34001.193548387098</v>
      </c>
      <c r="Z218" s="148"/>
      <c r="AA218" s="148">
        <v>268.70967741935482</v>
      </c>
      <c r="AB218" s="148">
        <v>76.774193548387103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152642.16129032261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4731907.0000000009</v>
      </c>
    </row>
    <row r="219" spans="3:63" x14ac:dyDescent="0.25">
      <c r="C219" s="182">
        <f t="shared" si="22"/>
        <v>2011.6666596000105</v>
      </c>
      <c r="D219" s="147">
        <v>40756</v>
      </c>
      <c r="E219" s="148">
        <v>964.93548387096803</v>
      </c>
      <c r="F219" s="148">
        <f>14685/31</f>
        <v>473.70967741935482</v>
      </c>
      <c r="G219" s="148">
        <f>98096/31</f>
        <v>3164.3870967741937</v>
      </c>
      <c r="H219" s="148">
        <f>26001/31</f>
        <v>838.74193548387098</v>
      </c>
      <c r="I219" s="148">
        <v>124.35483870967742</v>
      </c>
      <c r="J219" s="298">
        <f>97382/31</f>
        <v>3141.3548387096776</v>
      </c>
      <c r="K219" s="298"/>
      <c r="L219" s="148">
        <v>221.06451612903226</v>
      </c>
      <c r="M219" s="148">
        <f>421045/31</f>
        <v>13582.096774193549</v>
      </c>
      <c r="N219" s="148"/>
      <c r="O219" s="148">
        <f>140627/31</f>
        <v>4536.3548387096771</v>
      </c>
      <c r="P219" s="148"/>
      <c r="Q219" s="148">
        <v>55.354838709677402</v>
      </c>
      <c r="R219" s="148">
        <v>45.322580645161288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7082.8709677419356</v>
      </c>
      <c r="V219" s="148"/>
      <c r="W219" s="148">
        <f>527277/31</f>
        <v>17008.935483870966</v>
      </c>
      <c r="X219" s="148">
        <f>1401241/31</f>
        <v>45201.322580645159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4646437.0000000009</v>
      </c>
    </row>
    <row r="220" spans="3:63" x14ac:dyDescent="0.2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815.36666666666667</v>
      </c>
      <c r="I220" s="148">
        <v>159.9</v>
      </c>
      <c r="J220" s="298">
        <f>97457/30</f>
        <v>3248.5666666666666</v>
      </c>
      <c r="K220" s="298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42.033333333333331</v>
      </c>
      <c r="S220" s="148">
        <f>+(342049+31259)/30</f>
        <v>12443.6</v>
      </c>
      <c r="T220" s="148">
        <f>107469/30</f>
        <v>3582.3</v>
      </c>
      <c r="U220" s="148">
        <f>279907/30</f>
        <v>9330.2333333333336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35916.033333333333</v>
      </c>
      <c r="Z220" s="148"/>
      <c r="AA220" s="148">
        <v>340.56666666666666</v>
      </c>
      <c r="AB220" s="148">
        <v>70.833333333333329</v>
      </c>
      <c r="AC220" s="148">
        <f>77901/30</f>
        <v>2596.6999999999998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4547194.0000000009</v>
      </c>
    </row>
    <row r="221" spans="3:63" x14ac:dyDescent="0.25">
      <c r="C221" s="182">
        <f t="shared" si="22"/>
        <v>2011.8333262000106</v>
      </c>
      <c r="D221" s="147">
        <v>40817</v>
      </c>
      <c r="E221" s="148">
        <v>977.48387096774195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98">
        <f>99680/31</f>
        <v>3215.483870967742</v>
      </c>
      <c r="K221" s="298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3833.9354838709678</v>
      </c>
      <c r="P221" s="148"/>
      <c r="Q221" s="148">
        <v>117.35483870967742</v>
      </c>
      <c r="R221" s="148">
        <v>40.322580645161302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17688.903225806451</v>
      </c>
      <c r="X221" s="148">
        <f>1196603/31</f>
        <v>38600.096774193546</v>
      </c>
      <c r="Y221" s="148">
        <f>1154547/31</f>
        <v>37243.451612903227</v>
      </c>
      <c r="Z221" s="148"/>
      <c r="AA221" s="148">
        <v>414.96774193548384</v>
      </c>
      <c r="AB221" s="148">
        <v>102.2258064516129</v>
      </c>
      <c r="AC221" s="148">
        <f>80632/31</f>
        <v>2601.0322580645161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t="shared" ref="AK221:AK228" si="26">+AI221-AI220</f>
        <v>-892.39139784951112</v>
      </c>
      <c r="AM221" s="135">
        <f>+AI221*31</f>
        <v>4671102.9999999991</v>
      </c>
    </row>
    <row r="222" spans="3:63" x14ac:dyDescent="0.2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2973.6333333333332</v>
      </c>
      <c r="H222" s="148">
        <v>817.6</v>
      </c>
      <c r="I222" s="148">
        <v>153.19999999999999</v>
      </c>
      <c r="J222" s="298">
        <f>104127/30</f>
        <v>3470.9</v>
      </c>
      <c r="K222" s="298"/>
      <c r="L222" s="148">
        <v>229.66666666666666</v>
      </c>
      <c r="M222" s="148">
        <f>412962/30</f>
        <v>13765.4</v>
      </c>
      <c r="N222" s="148"/>
      <c r="O222" s="148">
        <f>119618/30</f>
        <v>3987.2666666666669</v>
      </c>
      <c r="P222" s="148"/>
      <c r="Q222" s="148">
        <v>223.23333333333332</v>
      </c>
      <c r="R222" s="148">
        <v>39.533333333333331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9256.3333333333339</v>
      </c>
      <c r="V222" s="148"/>
      <c r="W222" s="148">
        <f>520533/30</f>
        <v>17351.099999999999</v>
      </c>
      <c r="X222" s="148">
        <f>1110109/30</f>
        <v>37003.633333333331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4599210.6333333328</v>
      </c>
    </row>
    <row r="223" spans="3:63" ht="13.8" thickBot="1" x14ac:dyDescent="0.3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469.87096774193549</v>
      </c>
      <c r="G223" s="162">
        <v>3234.2258064516127</v>
      </c>
      <c r="H223" s="162">
        <v>830.51612903225805</v>
      </c>
      <c r="I223" s="162">
        <v>162.83870967741936</v>
      </c>
      <c r="J223" s="299">
        <v>3436</v>
      </c>
      <c r="K223" s="299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9883.5483870967746</v>
      </c>
      <c r="V223" s="162"/>
      <c r="W223" s="162">
        <v>16629.193548387098</v>
      </c>
      <c r="X223" s="162">
        <v>36491.419354838712</v>
      </c>
      <c r="Y223" s="162">
        <v>39760.870967741932</v>
      </c>
      <c r="Z223" s="162"/>
      <c r="AA223" s="162">
        <v>443.93548387096774</v>
      </c>
      <c r="AB223" s="162">
        <v>113.87096774193549</v>
      </c>
      <c r="AC223" s="162">
        <v>2495.0322580645161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63" x14ac:dyDescent="0.25">
      <c r="C224" s="182">
        <f t="shared" si="22"/>
        <v>2012.0833261000107</v>
      </c>
      <c r="D224" s="152">
        <v>40909</v>
      </c>
      <c r="E224" s="163">
        <v>1078.0322580645161</v>
      </c>
      <c r="F224" s="164">
        <v>471.90322580645159</v>
      </c>
      <c r="G224" s="164">
        <v>2785.7741935483873</v>
      </c>
      <c r="H224" s="164">
        <v>824.25806451612902</v>
      </c>
      <c r="I224" s="164">
        <v>157.48387096774192</v>
      </c>
      <c r="J224" s="300">
        <v>3291.6451612903202</v>
      </c>
      <c r="K224" s="300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33177.258064516129</v>
      </c>
      <c r="Z224" s="164"/>
      <c r="AA224" s="164">
        <v>370.54838709677421</v>
      </c>
      <c r="AB224" s="164">
        <v>80.870967741935488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44" x14ac:dyDescent="0.2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455.31034482758622</v>
      </c>
      <c r="G225" s="148">
        <f>74028/29</f>
        <v>2552.6896551724139</v>
      </c>
      <c r="H225" s="148">
        <f>22874/29</f>
        <v>788.75862068965512</v>
      </c>
      <c r="I225" s="148">
        <f>4470/29</f>
        <v>154.13793103448276</v>
      </c>
      <c r="J225" s="298">
        <f>83102/29</f>
        <v>2865.5862068965516</v>
      </c>
      <c r="K225" s="298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36.482758620689658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37636.310344827587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63.103448275862071</v>
      </c>
      <c r="AC225" s="148">
        <f>75725/29</f>
        <v>2611.2068965517242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4338672.9999999991</v>
      </c>
    </row>
    <row r="226" spans="3:44" x14ac:dyDescent="0.2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456.12903225806451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98">
        <f>99764/31</f>
        <v>3218.1935483870966</v>
      </c>
      <c r="K226" s="298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3311.0322580645161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9489.4838709677424</v>
      </c>
      <c r="V226" s="148"/>
      <c r="W226" s="148">
        <f>485382/31</f>
        <v>15657.483870967742</v>
      </c>
      <c r="X226" s="148">
        <f>1252517/31</f>
        <v>40403.774193548386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44" x14ac:dyDescent="0.2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451.83333333333331</v>
      </c>
      <c r="G227" s="148">
        <v>1987.0333333333333</v>
      </c>
      <c r="H227" s="148">
        <v>764.6</v>
      </c>
      <c r="I227" s="148">
        <v>161.76666666666668</v>
      </c>
      <c r="J227" s="298">
        <v>3018.4333333333334</v>
      </c>
      <c r="K227" s="298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34024.800000000003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t="shared" ref="AJ227:AJ234" si="27">+AJ226</f>
        <v>152982</v>
      </c>
      <c r="AK227" s="138">
        <f t="shared" si="26"/>
        <v>-7563.5946236558957</v>
      </c>
      <c r="AM227" s="135">
        <f>+AI227*30</f>
        <v>4230197</v>
      </c>
    </row>
    <row r="228" spans="3:44" x14ac:dyDescent="0.25">
      <c r="C228" s="182">
        <f t="shared" si="22"/>
        <v>2012.4166593000109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775.64516129032256</v>
      </c>
      <c r="I228" s="148">
        <v>153.67741935483872</v>
      </c>
      <c r="J228" s="298">
        <v>3254.4193548387102</v>
      </c>
      <c r="K228" s="298"/>
      <c r="L228" s="148">
        <v>223.70967741935485</v>
      </c>
      <c r="M228" s="148">
        <v>14070.258064516129</v>
      </c>
      <c r="N228" s="148"/>
      <c r="O228" s="148">
        <v>3101.9677419354839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9782.2903225806458</v>
      </c>
      <c r="V228" s="148"/>
      <c r="W228" s="148">
        <v>14905.806451612903</v>
      </c>
      <c r="X228" s="148">
        <v>41191.516129032258</v>
      </c>
      <c r="Y228" s="148">
        <v>36730.483870967742</v>
      </c>
      <c r="Z228" s="148"/>
      <c r="AA228" s="148">
        <v>309.87096774193549</v>
      </c>
      <c r="AB228" s="148">
        <v>86.806451612903231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6058.0784946236818</v>
      </c>
      <c r="AM228" s="135">
        <f>+AI228*31</f>
        <v>4559004.0000000009</v>
      </c>
    </row>
    <row r="229" spans="3:44" x14ac:dyDescent="0.2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98">
        <v>3280.2</v>
      </c>
      <c r="K229" s="298"/>
      <c r="L229" s="148">
        <v>221.6</v>
      </c>
      <c r="M229" s="148">
        <v>13878.733333333334</v>
      </c>
      <c r="N229" s="148"/>
      <c r="O229" s="148">
        <v>3568.2666666666669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3472.2666666666669</v>
      </c>
      <c r="U229" s="148">
        <v>8554.7000000000007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2726.2333333333331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963.18817204298102</v>
      </c>
      <c r="AM229" s="135">
        <f>+AI229*30</f>
        <v>4440835</v>
      </c>
    </row>
    <row r="230" spans="3:44" x14ac:dyDescent="0.2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2352.9354838709678</v>
      </c>
      <c r="H230" s="148">
        <v>755.80645161290317</v>
      </c>
      <c r="I230" s="148">
        <v>140.29032258064515</v>
      </c>
      <c r="J230" s="298">
        <v>3272.1612903225805</v>
      </c>
      <c r="K230" s="298"/>
      <c r="L230" s="134">
        <v>218.64516129032259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t="shared" ref="AK230:AK261" si="28">+AI230-AI229</f>
        <v>2088.005376344081</v>
      </c>
      <c r="AM230" s="135">
        <f>+AI230*31</f>
        <v>4653591</v>
      </c>
    </row>
    <row r="231" spans="3:44" x14ac:dyDescent="0.25">
      <c r="C231" s="182">
        <f t="shared" si="22"/>
        <v>2012.6666592000111</v>
      </c>
      <c r="D231" s="152">
        <v>41122</v>
      </c>
      <c r="E231" s="165">
        <v>1211.9677419354839</v>
      </c>
      <c r="F231" s="148">
        <v>420.54838709677421</v>
      </c>
      <c r="G231" s="148">
        <v>2265.4516129032259</v>
      </c>
      <c r="H231" s="148">
        <v>768.9677419354839</v>
      </c>
      <c r="I231" s="148">
        <v>146.32258064516128</v>
      </c>
      <c r="J231" s="298">
        <v>3518.0322580645202</v>
      </c>
      <c r="K231" s="298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34.032258064516128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46971.774193548386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155960.16129032261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4834765.0000000009</v>
      </c>
    </row>
    <row r="232" spans="3:44" x14ac:dyDescent="0.25">
      <c r="C232" s="182">
        <f t="shared" si="22"/>
        <v>2012.7499925000111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98">
        <v>3496</v>
      </c>
      <c r="K232" s="298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44" x14ac:dyDescent="0.25">
      <c r="C233" s="182">
        <f t="shared" si="22"/>
        <v>2012.8333258000112</v>
      </c>
      <c r="D233" s="152">
        <v>41183</v>
      </c>
      <c r="E233" s="165">
        <f>42849/31</f>
        <v>1382.2258064516129</v>
      </c>
      <c r="F233" s="148">
        <v>431.35483870967744</v>
      </c>
      <c r="G233" s="148">
        <f>61849/31</f>
        <v>1995.1290322580646</v>
      </c>
      <c r="H233" s="148">
        <v>760.54838709677415</v>
      </c>
      <c r="I233" s="148">
        <v>138.38709677419354</v>
      </c>
      <c r="J233" s="298">
        <f>113288/31</f>
        <v>3654.4516129032259</v>
      </c>
      <c r="K233" s="298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9951.4516129032254</v>
      </c>
      <c r="V233" s="148"/>
      <c r="W233" s="148">
        <f>471970/31</f>
        <v>15224.838709677419</v>
      </c>
      <c r="X233" s="148">
        <f>1938478/31</f>
        <v>62531.548387096773</v>
      </c>
      <c r="Y233" s="148">
        <f>1121258/31</f>
        <v>36169.612903225803</v>
      </c>
      <c r="Z233" s="148"/>
      <c r="AA233" s="148">
        <v>325.41935483870969</v>
      </c>
      <c r="AB233" s="148">
        <v>96.322580645161295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5055.5537634408392</v>
      </c>
      <c r="AM233" s="135">
        <f>+AI233*31</f>
        <v>5201316</v>
      </c>
    </row>
    <row r="234" spans="3:44" x14ac:dyDescent="0.2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98">
        <v>3587</v>
      </c>
      <c r="K234" s="298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44" x14ac:dyDescent="0.2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750.80645161290317</v>
      </c>
      <c r="I235" s="162">
        <v>147.25806451612902</v>
      </c>
      <c r="J235" s="299">
        <v>3640.741935</v>
      </c>
      <c r="K235" s="299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92.483870967741936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8955.4838709677424</v>
      </c>
      <c r="V235" s="162"/>
      <c r="W235" s="162">
        <v>15099.451612903225</v>
      </c>
      <c r="X235" s="162">
        <v>60833.161290322583</v>
      </c>
      <c r="Y235" s="162">
        <v>35531.870967741932</v>
      </c>
      <c r="Z235" s="162"/>
      <c r="AA235" s="162">
        <v>302.12903225806451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-304.96774241933599</v>
      </c>
    </row>
    <row r="236" spans="3:44" x14ac:dyDescent="0.2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426.90322580645159</v>
      </c>
      <c r="G236" s="148">
        <f>62545/31</f>
        <v>2017.5806451612902</v>
      </c>
      <c r="H236" s="148">
        <f>22887/31</f>
        <v>738.29032258064512</v>
      </c>
      <c r="I236" s="148">
        <f>4345/31</f>
        <v>140.16129032258064</v>
      </c>
      <c r="J236" s="299">
        <f>104345/31</f>
        <v>3365.9677419354839</v>
      </c>
      <c r="K236" s="299"/>
      <c r="L236" s="148">
        <f>6485/31</f>
        <v>209.19354838709677</v>
      </c>
      <c r="M236" s="148">
        <f>433594/31</f>
        <v>13986.903225806451</v>
      </c>
      <c r="N236" s="148"/>
      <c r="O236" s="148">
        <f>107456/31</f>
        <v>3466.3225806451615</v>
      </c>
      <c r="P236" s="148"/>
      <c r="Q236" s="148">
        <f>2783/31</f>
        <v>89.774193548387103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8856.4193548387102</v>
      </c>
      <c r="V236" s="148"/>
      <c r="W236" s="148">
        <f>483854/31</f>
        <v>15608.193548387097</v>
      </c>
      <c r="X236" s="148">
        <f>1900876/31</f>
        <v>61318.580645161288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87.387096774193552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747.00000048385118</v>
      </c>
    </row>
    <row r="237" spans="3:44" x14ac:dyDescent="0.2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732.10714285714289</v>
      </c>
      <c r="I237" s="148">
        <f>3814/28</f>
        <v>136.21428571428572</v>
      </c>
      <c r="J237" s="299">
        <f>98920/28</f>
        <v>3532.8571428571427</v>
      </c>
      <c r="K237" s="299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3736.5357142857142</v>
      </c>
      <c r="P237" s="148"/>
      <c r="Q237" s="148">
        <f>2763/28</f>
        <v>98.678571428571431</v>
      </c>
      <c r="R237" s="148">
        <f>1037/28</f>
        <v>37.035714285714285</v>
      </c>
      <c r="S237" s="148">
        <f>+(261076+36846)/28</f>
        <v>10640.071428571429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67439.821428571435</v>
      </c>
      <c r="Y237" s="148">
        <f>1070133/28</f>
        <v>38219.035714285717</v>
      </c>
      <c r="Z237" s="148"/>
      <c r="AA237" s="148">
        <f>7398/28</f>
        <v>264.21428571428572</v>
      </c>
      <c r="AB237" s="148">
        <f>1816/28</f>
        <v>64.857142857142861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473.53571428571428</v>
      </c>
      <c r="AH237" s="148"/>
      <c r="AI237" s="148">
        <f>SUM(E237:AH237)</f>
        <v>173613.5</v>
      </c>
      <c r="AJ237" s="252">
        <f t="shared" ref="AJ237:AJ247" si="29">+AJ236</f>
        <v>167515</v>
      </c>
      <c r="AK237" s="148">
        <f t="shared" si="28"/>
        <v>8418.4677419354848</v>
      </c>
      <c r="AL237" s="148"/>
      <c r="AM237" s="148"/>
      <c r="AN237" s="148"/>
      <c r="AO237" s="148"/>
      <c r="AP237" s="148"/>
      <c r="AQ237" s="148"/>
      <c r="AR237" s="148"/>
    </row>
    <row r="238" spans="3:44" x14ac:dyDescent="0.2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416.90322580645159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99">
        <f>93904/31</f>
        <v>3029.1612903225805</v>
      </c>
      <c r="K238" s="299"/>
      <c r="L238" s="148">
        <f>6524/31</f>
        <v>210.45161290322579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95.096774193548384</v>
      </c>
      <c r="R238" s="148">
        <v>32.677419354838712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8385.8064516129034</v>
      </c>
      <c r="V238" s="148"/>
      <c r="W238" s="148">
        <f>486749/31</f>
        <v>15701.58064516129</v>
      </c>
      <c r="X238" s="148">
        <f>1938237/31</f>
        <v>62523.774193548386</v>
      </c>
      <c r="Y238" s="161">
        <f>1277480/31</f>
        <v>41209.032258064515</v>
      </c>
      <c r="Z238" s="161"/>
      <c r="AA238" s="161">
        <v>383.41935483870969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404.54838709677421</v>
      </c>
      <c r="AH238" s="161"/>
      <c r="AI238" s="148">
        <f t="shared" ref="AI238:AI252" si="30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44" x14ac:dyDescent="0.2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716.43333333333328</v>
      </c>
      <c r="I239" s="155">
        <f>3585/30</f>
        <v>119.5</v>
      </c>
      <c r="J239" s="294">
        <f>95861/30</f>
        <v>3195.3666666666668</v>
      </c>
      <c r="K239" s="295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4038.2333333333331</v>
      </c>
      <c r="P239" s="155"/>
      <c r="Q239" s="155">
        <f>2672/30</f>
        <v>89.066666666666663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9345.2666666666664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76.666666666666671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44" ht="13.5" customHeight="1" x14ac:dyDescent="0.25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703.09677419354841</v>
      </c>
      <c r="I240" s="157">
        <f>3925/31</f>
        <v>126.61290322580645</v>
      </c>
      <c r="J240" s="294">
        <f>109894/31</f>
        <v>3544.9677419354839</v>
      </c>
      <c r="K240" s="295"/>
      <c r="L240" s="155">
        <f>6351/31</f>
        <v>204.87096774193549</v>
      </c>
      <c r="M240" s="156">
        <f>388960/31</f>
        <v>12547.096774193549</v>
      </c>
      <c r="N240" s="156"/>
      <c r="O240" s="156">
        <f>136474/31</f>
        <v>4402.3870967741932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2130.0645161290322</v>
      </c>
      <c r="U240" s="168">
        <f>327381/31</f>
        <v>10560.677419354839</v>
      </c>
      <c r="V240" s="168"/>
      <c r="W240" s="168">
        <f>454705/31</f>
        <v>14667.903225806451</v>
      </c>
      <c r="X240" s="168">
        <f>1987288/31</f>
        <v>64106.06451612903</v>
      </c>
      <c r="Y240" s="168">
        <f>1210405/31</f>
        <v>39045.322580645159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164.45161290322579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9" x14ac:dyDescent="0.2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742.16666666666663</v>
      </c>
      <c r="I241" s="156">
        <f>3841/30</f>
        <v>128.03333333333333</v>
      </c>
      <c r="J241" s="294">
        <f>92416/30</f>
        <v>3080.5333333333333</v>
      </c>
      <c r="K241" s="295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5201.5333333333338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9896.0333333333328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2523.3666666666668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9" x14ac:dyDescent="0.2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562.38709677419354</v>
      </c>
      <c r="I242" s="156">
        <f>4505/31</f>
        <v>145.32258064516128</v>
      </c>
      <c r="J242" s="294">
        <f>112945/31</f>
        <v>3643.3870967741937</v>
      </c>
      <c r="K242" s="295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88.225806451612897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9517.5161290322576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263.41935483870969</v>
      </c>
      <c r="AB242" s="168">
        <v>92.129032258064512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-8089.1301075269585</v>
      </c>
    </row>
    <row r="243" spans="3:39" x14ac:dyDescent="0.2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437.74193548387098</v>
      </c>
      <c r="G243" s="156">
        <f>61100/31</f>
        <v>1970.9677419354839</v>
      </c>
      <c r="H243" s="156">
        <f>28127/31</f>
        <v>907.32258064516134</v>
      </c>
      <c r="I243" s="156">
        <f>4088/31</f>
        <v>131.87096774193549</v>
      </c>
      <c r="J243" s="294">
        <f>115529/31</f>
        <v>3726.7419354838707</v>
      </c>
      <c r="K243" s="295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85.774193548387103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9667.4516129032254</v>
      </c>
      <c r="V243" s="168"/>
      <c r="W243" s="168">
        <f>471975/31</f>
        <v>15225</v>
      </c>
      <c r="X243" s="168">
        <f>2082905/31</f>
        <v>67190.483870967742</v>
      </c>
      <c r="Y243" s="168">
        <f>1181110/31</f>
        <v>38100.322580645159</v>
      </c>
      <c r="Z243" s="168"/>
      <c r="AA243" s="168">
        <v>373.09677419354841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x14ac:dyDescent="0.2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94">
        <f>111777/30</f>
        <v>3725.9</v>
      </c>
      <c r="K244" s="295"/>
      <c r="L244" s="156">
        <v>206.2</v>
      </c>
      <c r="M244" s="156">
        <f>289230/30</f>
        <v>9641</v>
      </c>
      <c r="N244" s="156"/>
      <c r="O244" s="156">
        <f>181478/30</f>
        <v>6049.2666666666664</v>
      </c>
      <c r="P244" s="156"/>
      <c r="Q244" s="156">
        <v>88.466666666666669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8753.7999999999993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2214.3666666666668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-5795.7591397848737</v>
      </c>
      <c r="AM244" s="135">
        <f>2213*30</f>
        <v>66390</v>
      </c>
    </row>
    <row r="245" spans="3:39" x14ac:dyDescent="0.2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430.22580645161293</v>
      </c>
      <c r="G245" s="156">
        <f>52513/31</f>
        <v>1693.9677419354839</v>
      </c>
      <c r="H245" s="156">
        <f>21460/31</f>
        <v>692.25806451612902</v>
      </c>
      <c r="I245" s="156">
        <f>4285/31</f>
        <v>138.2258064516129</v>
      </c>
      <c r="J245" s="294">
        <f>110419/31</f>
        <v>3561.9032258064517</v>
      </c>
      <c r="K245" s="295"/>
      <c r="L245" s="156">
        <f>6326/31</f>
        <v>204.06451612903226</v>
      </c>
      <c r="M245" s="156">
        <f>293206/31</f>
        <v>9458.2580645161288</v>
      </c>
      <c r="N245" s="156"/>
      <c r="O245" s="156">
        <f>158448/31</f>
        <v>5111.2258064516127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999.19354838709683</v>
      </c>
      <c r="U245" s="168">
        <f>309727/31</f>
        <v>9991.1935483870966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285.90322580645159</v>
      </c>
      <c r="AB245" s="168">
        <v>97.612903225806448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9" x14ac:dyDescent="0.2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94">
        <f>105792/30</f>
        <v>3526.4</v>
      </c>
      <c r="K246" s="295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3829.6333333333332</v>
      </c>
      <c r="U246" s="161">
        <f>296319/30</f>
        <v>9877.2999999999993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36941.466666666667</v>
      </c>
      <c r="Z246" s="161"/>
      <c r="AA246" s="161">
        <v>209.96666666666667</v>
      </c>
      <c r="AB246" s="161">
        <v>90.833333333333329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9" x14ac:dyDescent="0.2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434.54838709677421</v>
      </c>
      <c r="G247" s="156">
        <f>65913/31</f>
        <v>2126.2258064516127</v>
      </c>
      <c r="H247" s="156">
        <f>20252/31</f>
        <v>653.29032258064512</v>
      </c>
      <c r="I247" s="156">
        <f>4072/31</f>
        <v>131.35483870967741</v>
      </c>
      <c r="J247" s="294">
        <f>110534/31</f>
        <v>3565.6129032258063</v>
      </c>
      <c r="K247" s="295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7099.2580645161288</v>
      </c>
      <c r="P247" s="155"/>
      <c r="Q247" s="156">
        <f>2547/31</f>
        <v>82.161290322580641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37645.838709677417</v>
      </c>
      <c r="Z247" s="161"/>
      <c r="AA247" s="161">
        <v>400.96774193548384</v>
      </c>
      <c r="AB247" s="161">
        <v>125.64516129032258</v>
      </c>
      <c r="AC247" s="161">
        <f>72325/31</f>
        <v>2333.0645161290322</v>
      </c>
      <c r="AD247" s="161">
        <v>463.32258064516128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9" x14ac:dyDescent="0.25">
      <c r="C248" s="182">
        <f t="shared" si="22"/>
        <v>2014.0833253000119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680.19354838709683</v>
      </c>
      <c r="I248" s="172">
        <f>4005/31</f>
        <v>129.19354838709677</v>
      </c>
      <c r="J248" s="296">
        <f>110291/31</f>
        <v>3557.7741935483873</v>
      </c>
      <c r="K248" s="297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7579.7096774193551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52452.870967741932</v>
      </c>
      <c r="Y248" s="172">
        <f>1133917/31</f>
        <v>36577.967741935485</v>
      </c>
      <c r="Z248" s="172"/>
      <c r="AA248" s="172">
        <v>226.41935483870967</v>
      </c>
      <c r="AB248" s="172">
        <v>86.935483870967744</v>
      </c>
      <c r="AC248" s="172">
        <f>67456/31</f>
        <v>2176</v>
      </c>
      <c r="AD248" s="172">
        <f>42864/31</f>
        <v>1382.7096774193549</v>
      </c>
      <c r="AE248" s="172">
        <v>70.354838709677423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9" x14ac:dyDescent="0.25">
      <c r="C249" s="182">
        <f t="shared" si="22"/>
        <v>2014.1666586000119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685.28571428571433</v>
      </c>
      <c r="I249" s="172">
        <f>3547/28</f>
        <v>126.67857142857143</v>
      </c>
      <c r="J249" s="296">
        <f>101369/28</f>
        <v>3620.3214285714284</v>
      </c>
      <c r="K249" s="297"/>
      <c r="L249" s="172">
        <f>5722/28</f>
        <v>204.35714285714286</v>
      </c>
      <c r="M249" s="172">
        <f>293739/28</f>
        <v>10490.678571428571</v>
      </c>
      <c r="N249" s="172"/>
      <c r="O249" s="172">
        <f>185497/28</f>
        <v>6624.8928571428569</v>
      </c>
      <c r="P249" s="172"/>
      <c r="Q249" s="172">
        <f>1952/28</f>
        <v>69.714285714285708</v>
      </c>
      <c r="R249" s="172">
        <f>831/28</f>
        <v>29.678571428571427</v>
      </c>
      <c r="S249" s="173">
        <f>+(270203+36010)/28</f>
        <v>10936.178571428571</v>
      </c>
      <c r="T249" s="173">
        <f>198440/28</f>
        <v>7087.1428571428569</v>
      </c>
      <c r="U249" s="173">
        <f>273846/28</f>
        <v>9780.2142857142862</v>
      </c>
      <c r="V249" s="173"/>
      <c r="W249" s="173">
        <f>406684/28</f>
        <v>14524.428571428571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303.96428571428572</v>
      </c>
      <c r="AB249" s="173">
        <v>78.607142857142861</v>
      </c>
      <c r="AC249" s="173">
        <f>60777/28</f>
        <v>2170.6071428571427</v>
      </c>
      <c r="AD249" s="173">
        <f>94887/28</f>
        <v>3388.8214285714284</v>
      </c>
      <c r="AE249" s="173">
        <v>409.53571428571428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17354.791474654339</v>
      </c>
    </row>
    <row r="250" spans="3:39" x14ac:dyDescent="0.2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668.54838709677415</v>
      </c>
      <c r="I250" s="172">
        <v>129.12903225806451</v>
      </c>
      <c r="J250" s="296">
        <f>112963/31</f>
        <v>3643.9677419354839</v>
      </c>
      <c r="K250" s="297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7085.0967741935483</v>
      </c>
      <c r="P250" s="172"/>
      <c r="Q250" s="172">
        <f>2452/31</f>
        <v>79.096774193548384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5222.8064516129034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62449.193548387098</v>
      </c>
      <c r="Y250" s="173">
        <f>1238318/31</f>
        <v>39945.741935483871</v>
      </c>
      <c r="Z250" s="173">
        <f>37922/31</f>
        <v>1223.2903225806451</v>
      </c>
      <c r="AA250" s="173">
        <v>297.87096774193549</v>
      </c>
      <c r="AB250" s="173">
        <v>79.967741935483872</v>
      </c>
      <c r="AC250" s="173">
        <f>74828/31</f>
        <v>2413.8064516129034</v>
      </c>
      <c r="AD250" s="173">
        <f>142463/31</f>
        <v>4595.5806451612907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6865.0472350231139</v>
      </c>
    </row>
    <row r="251" spans="3:39" x14ac:dyDescent="0.2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96">
        <f>108338/30</f>
        <v>3611.2666666666669</v>
      </c>
      <c r="K251" s="297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7063.7333333333336</v>
      </c>
      <c r="P251" s="172"/>
      <c r="Q251" s="172">
        <f>2127/30</f>
        <v>70.900000000000006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3638.3666666666668</v>
      </c>
      <c r="U251" s="173">
        <f>297202/30</f>
        <v>9906.7333333333336</v>
      </c>
      <c r="V251" s="173"/>
      <c r="W251" s="173">
        <f>336532/30</f>
        <v>11217.733333333334</v>
      </c>
      <c r="X251" s="173">
        <f>1764624/30</f>
        <v>58820.800000000003</v>
      </c>
      <c r="Y251" s="173">
        <f>1247820/30</f>
        <v>41594</v>
      </c>
      <c r="Z251" s="173">
        <f>195137/30</f>
        <v>6504.5666666666666</v>
      </c>
      <c r="AA251" s="173">
        <v>329.46666666666664</v>
      </c>
      <c r="AB251" s="173">
        <v>99.4</v>
      </c>
      <c r="AC251" s="173">
        <f>67477/30</f>
        <v>2249.2333333333331</v>
      </c>
      <c r="AD251" s="173">
        <f>153991/30</f>
        <v>5133.0333333333338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-2993.0924731182749</v>
      </c>
    </row>
    <row r="252" spans="3:39" x14ac:dyDescent="0.25">
      <c r="C252" s="182">
        <f t="shared" si="22"/>
        <v>2014.4166585000121</v>
      </c>
      <c r="D252" s="136">
        <v>41760</v>
      </c>
      <c r="E252" s="172">
        <f>43335/31</f>
        <v>1397.9032258064517</v>
      </c>
      <c r="F252" s="172">
        <f>12073/31</f>
        <v>389.45161290322579</v>
      </c>
      <c r="G252" s="172">
        <f>44466/31</f>
        <v>1434.3870967741937</v>
      </c>
      <c r="H252" s="172">
        <f>19050/31</f>
        <v>614.51612903225805</v>
      </c>
      <c r="I252" s="172">
        <f>3807/31</f>
        <v>122.80645161290323</v>
      </c>
      <c r="J252" s="296">
        <f>109035/31</f>
        <v>3517.2580645161293</v>
      </c>
      <c r="K252" s="297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67.193548387096769</v>
      </c>
      <c r="R252" s="172">
        <f>725/31</f>
        <v>23.387096774193548</v>
      </c>
      <c r="S252" s="173">
        <f>+(337789+43167)/31</f>
        <v>12288.903225806451</v>
      </c>
      <c r="T252" s="173">
        <f>154337/31</f>
        <v>4978.6129032258068</v>
      </c>
      <c r="U252" s="173">
        <f>300212/31</f>
        <v>9684.2580645161288</v>
      </c>
      <c r="V252" s="173"/>
      <c r="W252" s="173">
        <f>418425/31</f>
        <v>13497.58064516129</v>
      </c>
      <c r="X252" s="173">
        <f>1770179/31</f>
        <v>57102.548387096773</v>
      </c>
      <c r="Y252" s="173">
        <f>1162245/31</f>
        <v>37491.774193548386</v>
      </c>
      <c r="Z252" s="173">
        <f>181328/31</f>
        <v>5849.2903225806449</v>
      </c>
      <c r="AA252" s="173">
        <v>256.29032258064518</v>
      </c>
      <c r="AB252" s="173">
        <v>107.25806451612904</v>
      </c>
      <c r="AC252" s="173">
        <f>72581/31</f>
        <v>2341.3225806451615</v>
      </c>
      <c r="AD252" s="173">
        <f>163900/31</f>
        <v>5287.0967741935483</v>
      </c>
      <c r="AE252" s="173"/>
      <c r="AF252" s="173"/>
      <c r="AG252" s="173"/>
      <c r="AH252" s="173"/>
      <c r="AI252" s="148">
        <f t="shared" si="30"/>
        <v>173546.25806451609</v>
      </c>
      <c r="AJ252" s="252">
        <f>+AJ251</f>
        <v>172730.52328767124</v>
      </c>
      <c r="AK252" s="138">
        <f t="shared" si="28"/>
        <v>-4336.8752688172681</v>
      </c>
    </row>
    <row r="253" spans="3:39" x14ac:dyDescent="0.2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96">
        <v>3547</v>
      </c>
      <c r="K253" s="297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t="shared" ref="AI253:AI266" si="31">SUM(E253:AH253)</f>
        <v>168850</v>
      </c>
      <c r="AJ253" s="252">
        <f>+AJ252</f>
        <v>172730.52328767124</v>
      </c>
      <c r="AK253" s="138">
        <f t="shared" si="28"/>
        <v>-4696.2580645160924</v>
      </c>
    </row>
    <row r="254" spans="3:39" x14ac:dyDescent="0.2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720.45161290322585</v>
      </c>
      <c r="I254" s="172">
        <v>129.64516129032259</v>
      </c>
      <c r="J254" s="296">
        <v>3668.6129032258063</v>
      </c>
      <c r="K254" s="297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69.451612903225808</v>
      </c>
      <c r="R254" s="172">
        <v>22.322580645161292</v>
      </c>
      <c r="S254" s="173">
        <v>12034.58064516129</v>
      </c>
      <c r="T254" s="173">
        <v>4460.0967741935483</v>
      </c>
      <c r="U254" s="173">
        <v>8279.5161290322576</v>
      </c>
      <c r="V254" s="173"/>
      <c r="W254" s="173">
        <v>13959.032258064517</v>
      </c>
      <c r="X254" s="173">
        <v>59400.193548387098</v>
      </c>
      <c r="Y254" s="173">
        <v>34352.870967741932</v>
      </c>
      <c r="Z254" s="173">
        <v>8225.7419354838712</v>
      </c>
      <c r="AA254" s="173">
        <v>389.22580645161293</v>
      </c>
      <c r="AB254" s="173">
        <v>90.677419354838705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173862.77419354839</v>
      </c>
      <c r="AJ254" s="252">
        <f t="shared" ref="AJ254:AJ259" si="32">+AJ253</f>
        <v>172730.52328767124</v>
      </c>
      <c r="AK254" s="138">
        <f t="shared" si="28"/>
        <v>5012.7741935483937</v>
      </c>
    </row>
    <row r="255" spans="3:39" x14ac:dyDescent="0.2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380.67741935483872</v>
      </c>
      <c r="G255" s="172">
        <v>1568.1290322580646</v>
      </c>
      <c r="H255" s="172">
        <v>685.0322580645161</v>
      </c>
      <c r="I255" s="172">
        <v>127.03225806451613</v>
      </c>
      <c r="J255" s="296">
        <v>3622.1612903225805</v>
      </c>
      <c r="K255" s="297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66.645161290322577</v>
      </c>
      <c r="R255" s="172">
        <v>21.774193548387096</v>
      </c>
      <c r="S255" s="173">
        <v>11472.870967741936</v>
      </c>
      <c r="T255" s="173">
        <v>4686.9354838709678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2214.0645161290322</v>
      </c>
      <c r="AD255" s="173">
        <v>6099.2258064516127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9" x14ac:dyDescent="0.2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96">
        <v>3566</v>
      </c>
      <c r="K256" s="297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6637.3870967741823</v>
      </c>
    </row>
    <row r="257" spans="3:37" x14ac:dyDescent="0.2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96">
        <v>3564</v>
      </c>
      <c r="K257" s="297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x14ac:dyDescent="0.2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684.83333333333337</v>
      </c>
      <c r="I258" s="172">
        <v>136.16666666666666</v>
      </c>
      <c r="J258" s="296">
        <v>3483.9666666666667</v>
      </c>
      <c r="K258" s="297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5451.7666666666664</v>
      </c>
      <c r="U258" s="173">
        <v>9420.4</v>
      </c>
      <c r="V258" s="173"/>
      <c r="W258" s="173">
        <v>10942.966666666667</v>
      </c>
      <c r="X258" s="173">
        <v>56420.033333333333</v>
      </c>
      <c r="Y258" s="173">
        <v>41538.199999999997</v>
      </c>
      <c r="Z258" s="173">
        <v>6628.0666666666666</v>
      </c>
      <c r="AA258" s="173">
        <v>381.6</v>
      </c>
      <c r="AB258" s="173">
        <v>39.266666666666666</v>
      </c>
      <c r="AC258" s="173">
        <v>1941.4</v>
      </c>
      <c r="AD258" s="173">
        <v>6399.9666666666662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 x14ac:dyDescent="0.25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369.54838709677421</v>
      </c>
      <c r="G259" s="175">
        <v>1558.6451612903227</v>
      </c>
      <c r="H259" s="175">
        <v>672.67741935483866</v>
      </c>
      <c r="I259" s="175">
        <v>142.96774193548387</v>
      </c>
      <c r="J259" s="308">
        <v>3553.4516129032259</v>
      </c>
      <c r="K259" s="309"/>
      <c r="L259" s="175">
        <v>192.48387096774192</v>
      </c>
      <c r="M259" s="175">
        <v>10229.516129032258</v>
      </c>
      <c r="N259" s="175"/>
      <c r="O259" s="175">
        <v>5328.3548387096771</v>
      </c>
      <c r="P259" s="175"/>
      <c r="Q259" s="175">
        <v>58.161290322580648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56201.677419354841</v>
      </c>
      <c r="Y259" s="176">
        <v>41640.709677419356</v>
      </c>
      <c r="Z259" s="176">
        <v>6473.7419354838712</v>
      </c>
      <c r="AA259" s="176">
        <v>327.87096774193549</v>
      </c>
      <c r="AB259" s="176">
        <v>103.87096774193549</v>
      </c>
      <c r="AC259" s="176">
        <v>1512.2903225806451</v>
      </c>
      <c r="AD259" s="176">
        <v>5657.5483870967746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x14ac:dyDescent="0.2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1485.9677419354839</v>
      </c>
      <c r="H260" s="177">
        <v>657.54838709677415</v>
      </c>
      <c r="I260" s="177">
        <v>167.87096774193549</v>
      </c>
      <c r="J260" s="304">
        <v>3458.1612903225805</v>
      </c>
      <c r="K260" s="305"/>
      <c r="L260" s="177">
        <v>192.93548387096774</v>
      </c>
      <c r="M260" s="177">
        <v>10268.774193548386</v>
      </c>
      <c r="N260" s="177"/>
      <c r="O260" s="177">
        <v>4834.4193548387093</v>
      </c>
      <c r="P260" s="177"/>
      <c r="Q260" s="177">
        <v>54.741935483870968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8408.5806451612898</v>
      </c>
      <c r="V260" s="178"/>
      <c r="W260" s="178">
        <v>11228.064516129032</v>
      </c>
      <c r="X260" s="178">
        <v>53014.612903225803</v>
      </c>
      <c r="Y260" s="178">
        <v>40950.483870967742</v>
      </c>
      <c r="Z260" s="178">
        <v>6223.9354838709678</v>
      </c>
      <c r="AA260" s="178">
        <v>278.29032258064518</v>
      </c>
      <c r="AB260" s="178">
        <v>61.903225806451616</v>
      </c>
      <c r="AC260" s="178">
        <v>1984.8709677419354</v>
      </c>
      <c r="AD260" s="178">
        <v>4522.0645161290322</v>
      </c>
      <c r="AE260" s="178">
        <v>683.38709677419354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x14ac:dyDescent="0.2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304">
        <v>3550.9285714285716</v>
      </c>
      <c r="K261" s="305"/>
      <c r="L261" s="177">
        <v>193.14285714285714</v>
      </c>
      <c r="M261" s="177">
        <v>10297.214285714286</v>
      </c>
      <c r="N261" s="177"/>
      <c r="O261" s="177">
        <v>4797.5357142857147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6282.3928571428569</v>
      </c>
      <c r="V261" s="178"/>
      <c r="W261" s="178">
        <v>8073.6428571428569</v>
      </c>
      <c r="X261" s="178">
        <v>55785.035714285717</v>
      </c>
      <c r="Y261" s="178">
        <v>39109</v>
      </c>
      <c r="Z261" s="178">
        <v>5564.4642857142853</v>
      </c>
      <c r="AA261" s="178">
        <v>318.25</v>
      </c>
      <c r="AB261" s="178">
        <v>62.642857142857146</v>
      </c>
      <c r="AC261" s="178">
        <v>1782.9642857142858</v>
      </c>
      <c r="AD261" s="178">
        <v>2910.2142857142858</v>
      </c>
      <c r="AE261" s="178">
        <v>2210.5357142857142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-6586.4412442395987</v>
      </c>
    </row>
    <row r="262" spans="3:37" x14ac:dyDescent="0.25">
      <c r="C262" s="182">
        <f t="shared" si="22"/>
        <v>2015.2499915000126</v>
      </c>
      <c r="D262" s="171">
        <v>42064</v>
      </c>
      <c r="E262" s="177">
        <v>1393.0322580645161</v>
      </c>
      <c r="F262" s="177">
        <v>356.87096774193549</v>
      </c>
      <c r="G262" s="177">
        <v>1333.3870967741937</v>
      </c>
      <c r="H262" s="177">
        <v>590.35483870967744</v>
      </c>
      <c r="I262" s="177">
        <v>173.03225806451613</v>
      </c>
      <c r="J262" s="304">
        <v>3401.6451612903224</v>
      </c>
      <c r="K262" s="305"/>
      <c r="L262" s="177">
        <v>190.16129032258064</v>
      </c>
      <c r="M262" s="177">
        <v>10335.838709677419</v>
      </c>
      <c r="N262" s="177"/>
      <c r="O262" s="177">
        <v>4209.6129032258068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8728.1612903225814</v>
      </c>
      <c r="V262" s="178"/>
      <c r="W262" s="178">
        <v>10221.709677419354</v>
      </c>
      <c r="X262" s="178">
        <v>55341.967741935485</v>
      </c>
      <c r="Y262" s="178">
        <v>35016.225806451614</v>
      </c>
      <c r="Z262" s="178">
        <v>5793.9677419354839</v>
      </c>
      <c r="AA262" s="178">
        <v>292.90322580645159</v>
      </c>
      <c r="AB262" s="178">
        <v>93.354838709677423</v>
      </c>
      <c r="AC262" s="178">
        <v>2016.8709677419354</v>
      </c>
      <c r="AD262" s="178">
        <v>757.64516129032256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t="shared" ref="AJ262:AJ271" si="33">+AJ261</f>
        <v>149405</v>
      </c>
      <c r="AK262" s="138">
        <f t="shared" ref="AK262:AK268" si="34">+AI262-AI261</f>
        <v>1940.0218894009013</v>
      </c>
    </row>
    <row r="263" spans="3:37" x14ac:dyDescent="0.2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991.06666666666672</v>
      </c>
      <c r="H263" s="177">
        <v>335.13333333333333</v>
      </c>
      <c r="I263" s="177">
        <v>167.53333333333333</v>
      </c>
      <c r="J263" s="304">
        <v>3415.6666666666665</v>
      </c>
      <c r="K263" s="305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3599.6333333333332</v>
      </c>
      <c r="U263" s="178">
        <v>8839</v>
      </c>
      <c r="V263" s="178"/>
      <c r="W263" s="178">
        <v>10141.700000000001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3216.7333333333331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x14ac:dyDescent="0.25">
      <c r="C264" s="182">
        <f t="shared" si="22"/>
        <v>2015.4166581000127</v>
      </c>
      <c r="D264" s="171">
        <v>42125</v>
      </c>
      <c r="E264" s="177">
        <v>1351.2258064516129</v>
      </c>
      <c r="F264" s="177">
        <v>380.64516129032256</v>
      </c>
      <c r="G264" s="177">
        <v>1346</v>
      </c>
      <c r="H264" s="177">
        <v>931.77419354838707</v>
      </c>
      <c r="I264" s="177">
        <v>195.19354838709677</v>
      </c>
      <c r="J264" s="304">
        <v>3440.9677419354839</v>
      </c>
      <c r="K264" s="305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57.322580645161288</v>
      </c>
      <c r="R264" s="177">
        <v>19.129032258064516</v>
      </c>
      <c r="S264" s="177">
        <v>10967.032258064517</v>
      </c>
      <c r="T264" s="177">
        <v>4112.4193548387093</v>
      </c>
      <c r="U264" s="177">
        <v>8068.9032258064517</v>
      </c>
      <c r="V264" s="177"/>
      <c r="W264" s="177">
        <v>10294.451612903225</v>
      </c>
      <c r="X264" s="177">
        <v>41456.354838709674</v>
      </c>
      <c r="Y264" s="177">
        <v>22482.903225806451</v>
      </c>
      <c r="Z264" s="177">
        <v>3724.6129032258063</v>
      </c>
      <c r="AA264" s="177">
        <v>317.64516129032256</v>
      </c>
      <c r="AB264" s="177">
        <v>68.322580645161295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x14ac:dyDescent="0.2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304">
        <v>3394.3</v>
      </c>
      <c r="K265" s="305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80.333333333333329</v>
      </c>
      <c r="R265" s="177">
        <v>19.733333333333334</v>
      </c>
      <c r="S265" s="177">
        <v>11380.266666666666</v>
      </c>
      <c r="T265" s="177">
        <v>0</v>
      </c>
      <c r="U265" s="177">
        <v>7988.0333333333338</v>
      </c>
      <c r="V265" s="177"/>
      <c r="W265" s="177">
        <v>9948</v>
      </c>
      <c r="X265" s="177">
        <v>52601.5</v>
      </c>
      <c r="Y265" s="177">
        <v>37407.633333333331</v>
      </c>
      <c r="Z265" s="177">
        <v>5834.0333333333338</v>
      </c>
      <c r="AA265" s="177">
        <v>185.73333333333332</v>
      </c>
      <c r="AB265" s="177">
        <v>53.966666666666669</v>
      </c>
      <c r="AC265" s="177">
        <v>1819.3666666666666</v>
      </c>
      <c r="AD265" s="177">
        <v>956.36666666666667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x14ac:dyDescent="0.25">
      <c r="C266" s="182">
        <f t="shared" si="22"/>
        <v>2015.5833247000128</v>
      </c>
      <c r="D266" s="171">
        <v>42186</v>
      </c>
      <c r="E266" s="177">
        <v>1415.7741935483871</v>
      </c>
      <c r="F266" s="177">
        <v>348.09677419354841</v>
      </c>
      <c r="G266" s="177">
        <v>1222.2903225806451</v>
      </c>
      <c r="H266" s="177">
        <v>628.0322580645161</v>
      </c>
      <c r="I266" s="177">
        <v>163.38709677419354</v>
      </c>
      <c r="J266" s="304">
        <v>3407.0645161290322</v>
      </c>
      <c r="K266" s="305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61.612903225806448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9421.9032258064508</v>
      </c>
      <c r="X266" s="177">
        <v>48275.258064516129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591.09677419354841</v>
      </c>
      <c r="AE266" s="177">
        <v>3797.0322580645161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x14ac:dyDescent="0.2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641.83870967741939</v>
      </c>
      <c r="I267" s="177">
        <v>152.12903225806451</v>
      </c>
      <c r="J267" s="304">
        <v>3457.1290322580599</v>
      </c>
      <c r="K267" s="305"/>
      <c r="L267" s="177">
        <v>271.67741935483872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58862.741935483871</v>
      </c>
      <c r="Y267" s="178">
        <v>9016.322580645161</v>
      </c>
      <c r="Z267" s="178">
        <v>2366.0322580645161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754.22580645161293</v>
      </c>
      <c r="AE267" s="177">
        <v>4006.0322580645161</v>
      </c>
      <c r="AF267" s="177"/>
      <c r="AG267" s="177"/>
      <c r="AH267" s="177"/>
      <c r="AI267" s="148">
        <f t="shared" ref="AI267:AI274" si="35">SUM(E267:AH267)</f>
        <v>134295.70967741936</v>
      </c>
      <c r="AJ267" s="252">
        <f>+AJ266</f>
        <v>149405</v>
      </c>
      <c r="AK267" s="138">
        <f t="shared" si="34"/>
        <v>-8218.8387096773949</v>
      </c>
    </row>
    <row r="268" spans="3:37" x14ac:dyDescent="0.2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630.73333333333335</v>
      </c>
      <c r="I268" s="177">
        <v>156.80000000000001</v>
      </c>
      <c r="J268" s="304">
        <v>3365.7666666666701</v>
      </c>
      <c r="K268" s="305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17.100000000000001</v>
      </c>
      <c r="S268" s="177">
        <f>9492.36666666667+1300.23333333333</f>
        <v>10792.6</v>
      </c>
      <c r="T268" s="177">
        <v>7276.4333333333334</v>
      </c>
      <c r="U268" s="177">
        <v>5481.9</v>
      </c>
      <c r="V268" s="177"/>
      <c r="W268" s="177">
        <v>4441.5333333333338</v>
      </c>
      <c r="X268" s="178">
        <v>53443.333333333336</v>
      </c>
      <c r="Y268" s="178">
        <v>21087.933333333334</v>
      </c>
      <c r="Z268" s="178">
        <v>2572.8000000000002</v>
      </c>
      <c r="AA268" s="177">
        <v>365.03333333333336</v>
      </c>
      <c r="AB268" s="177">
        <v>124.93333333333334</v>
      </c>
      <c r="AC268" s="177">
        <v>1973.6</v>
      </c>
      <c r="AD268" s="177">
        <v>1077.9000000000001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806.72365591398557</v>
      </c>
    </row>
    <row r="269" spans="3:37" x14ac:dyDescent="0.25">
      <c r="C269" s="182">
        <f t="shared" si="22"/>
        <v>2015.8333246000129</v>
      </c>
      <c r="D269" s="171">
        <v>42278</v>
      </c>
      <c r="E269" s="177">
        <v>1323.2903225806451</v>
      </c>
      <c r="F269" s="177">
        <v>360.09677419354841</v>
      </c>
      <c r="G269" s="177">
        <v>1172.258064516129</v>
      </c>
      <c r="H269" s="177">
        <v>637.12903225806451</v>
      </c>
      <c r="I269" s="177">
        <v>151.2258064516129</v>
      </c>
      <c r="J269" s="304">
        <v>3472.9677419354839</v>
      </c>
      <c r="K269" s="305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66.645161290322577</v>
      </c>
      <c r="R269" s="177">
        <v>19.774193548387096</v>
      </c>
      <c r="S269" s="177">
        <v>10558.2580645161</v>
      </c>
      <c r="T269" s="177">
        <v>2574.9677419354839</v>
      </c>
      <c r="U269" s="177">
        <v>6749.2258064516127</v>
      </c>
      <c r="V269" s="177">
        <v>9436.2258064516136</v>
      </c>
      <c r="W269" s="177">
        <v>678</v>
      </c>
      <c r="X269" s="178">
        <v>51913.032258064515</v>
      </c>
      <c r="Y269" s="178">
        <v>36384.06451612903</v>
      </c>
      <c r="Z269" s="178">
        <v>5325.1290322580644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x14ac:dyDescent="0.2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304">
        <v>3349.4</v>
      </c>
      <c r="K270" s="305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8197.9333333333325</v>
      </c>
      <c r="V270" s="177">
        <v>8981.6333333333332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306.63333333333333</v>
      </c>
      <c r="AB270" s="177">
        <v>123.06666666666666</v>
      </c>
      <c r="AC270" s="177">
        <v>1756.0333333333299</v>
      </c>
      <c r="AD270" s="178">
        <v>1779.8333333333333</v>
      </c>
      <c r="AE270" s="178">
        <v>3929.1333333333332</v>
      </c>
      <c r="AF270" s="177"/>
      <c r="AG270" s="177"/>
      <c r="AH270" s="177"/>
      <c r="AI270" s="148">
        <f t="shared" si="35"/>
        <v>154074.76666666669</v>
      </c>
      <c r="AJ270" s="252">
        <f t="shared" si="33"/>
        <v>149405</v>
      </c>
      <c r="AK270" s="138">
        <f>+AI270-AI269</f>
        <v>747.31505376353743</v>
      </c>
    </row>
    <row r="271" spans="3:37" x14ac:dyDescent="0.2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648.51612903225805</v>
      </c>
      <c r="I271" s="177">
        <v>133.74193548387098</v>
      </c>
      <c r="J271" s="304">
        <v>3288.8709677419356</v>
      </c>
      <c r="K271" s="305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58.387096774193552</v>
      </c>
      <c r="R271" s="177">
        <v>18.258064516129032</v>
      </c>
      <c r="S271" s="177">
        <f>8918.58064516129 + 1190.677419</f>
        <v>10109.258064161289</v>
      </c>
      <c r="T271" s="177">
        <v>4617.1935483870966</v>
      </c>
      <c r="U271" s="177">
        <v>7547.3870967741932</v>
      </c>
      <c r="V271" s="177">
        <v>10184.41935483871</v>
      </c>
      <c r="W271" s="189" t="s">
        <v>37</v>
      </c>
      <c r="X271" s="177">
        <v>54585.129032258068</v>
      </c>
      <c r="Y271" s="177">
        <v>39603.032258064515</v>
      </c>
      <c r="Z271" s="177">
        <v>4693.1290322580644</v>
      </c>
      <c r="AA271" s="177">
        <v>136.19354838709677</v>
      </c>
      <c r="AB271" s="177">
        <v>33.12903225806452</v>
      </c>
      <c r="AC271" s="177">
        <v>1890.7741935483871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7006.7494620107464</v>
      </c>
    </row>
    <row r="272" spans="3:37" s="201" customFormat="1" x14ac:dyDescent="0.25">
      <c r="C272" s="195">
        <f t="shared" ref="C272:C300" si="36">+C271+0.0833333</f>
        <v>2016.0833245000131</v>
      </c>
      <c r="D272" s="196">
        <v>42370</v>
      </c>
      <c r="E272" s="197">
        <v>1119.2258064516129</v>
      </c>
      <c r="F272" s="197">
        <v>353.29032258064518</v>
      </c>
      <c r="G272" s="197">
        <v>1007.7741935483871</v>
      </c>
      <c r="H272" s="197">
        <v>663.64516129032256</v>
      </c>
      <c r="I272" s="197">
        <v>127.87096774193549</v>
      </c>
      <c r="J272" s="306">
        <v>3243.3225806451601</v>
      </c>
      <c r="K272" s="307"/>
      <c r="L272" s="197">
        <v>164.35483870967741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21960.903225806451</v>
      </c>
      <c r="Z272" s="197">
        <v>3946.2903225806454</v>
      </c>
      <c r="AA272" s="197">
        <v>356.83870967741933</v>
      </c>
      <c r="AB272" s="197">
        <v>74.483870967741936</v>
      </c>
      <c r="AC272" s="197">
        <v>1865.9677419354839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-50095.129031903227</v>
      </c>
    </row>
    <row r="273" spans="3:39" s="201" customFormat="1" x14ac:dyDescent="0.2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322.79310344827587</v>
      </c>
      <c r="G273" s="197">
        <v>1008.9310344827586</v>
      </c>
      <c r="H273" s="197">
        <v>620.20689655172418</v>
      </c>
      <c r="I273" s="197">
        <v>133.34482758620689</v>
      </c>
      <c r="J273" s="306">
        <v>3242.8965517241381</v>
      </c>
      <c r="K273" s="307">
        <v>0</v>
      </c>
      <c r="L273" s="197">
        <v>183.44827586206895</v>
      </c>
      <c r="M273" s="197">
        <v>10945.931034482759</v>
      </c>
      <c r="N273" s="197"/>
      <c r="O273" s="197">
        <v>3794.7931034482758</v>
      </c>
      <c r="P273" s="197"/>
      <c r="Q273" s="197">
        <v>51.206896551724135</v>
      </c>
      <c r="R273" s="197">
        <v>16.137931034482758</v>
      </c>
      <c r="S273" s="197">
        <v>9842.9310344827591</v>
      </c>
      <c r="T273" s="197">
        <v>3873.8965517241381</v>
      </c>
      <c r="U273" s="197">
        <v>7572.8965517241377</v>
      </c>
      <c r="V273" s="197">
        <v>4223.8965517241377</v>
      </c>
      <c r="W273" s="198"/>
      <c r="X273" s="197">
        <v>55195.965517241377</v>
      </c>
      <c r="Y273" s="197">
        <v>24998.137931034482</v>
      </c>
      <c r="Z273" s="197">
        <v>2003.7586206896551</v>
      </c>
      <c r="AA273" s="197">
        <v>194</v>
      </c>
      <c r="AB273" s="197">
        <v>72.482758620689651</v>
      </c>
      <c r="AC273" s="197">
        <v>1502</v>
      </c>
      <c r="AD273" s="197">
        <v>565.41379310344826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t="shared" ref="AK273:AK287" si="37">+AI273-AI272</f>
        <v>20548.19911012231</v>
      </c>
    </row>
    <row r="274" spans="3:39" s="205" customFormat="1" x14ac:dyDescent="0.2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768.25806451612902</v>
      </c>
      <c r="H274" s="197">
        <v>598.32258064516134</v>
      </c>
      <c r="I274" s="197">
        <v>118.51612903225806</v>
      </c>
      <c r="J274" s="306">
        <v>2940.9032258064499</v>
      </c>
      <c r="K274" s="307"/>
      <c r="L274" s="197">
        <v>213.09677419354838</v>
      </c>
      <c r="M274" s="197">
        <v>10465.741935483871</v>
      </c>
      <c r="N274" s="197"/>
      <c r="O274" s="197">
        <v>4093.0322580645161</v>
      </c>
      <c r="P274" s="197"/>
      <c r="Q274" s="197">
        <v>52.967741935483872</v>
      </c>
      <c r="R274" s="197">
        <v>14.064516129032258</v>
      </c>
      <c r="S274" s="197">
        <v>9719.5806451612898</v>
      </c>
      <c r="T274" s="197">
        <v>2992.3870967741937</v>
      </c>
      <c r="U274" s="197">
        <v>6006.6129032258068</v>
      </c>
      <c r="V274" s="197">
        <v>0</v>
      </c>
      <c r="W274" s="198"/>
      <c r="X274" s="197">
        <v>48012.129032258068</v>
      </c>
      <c r="Y274" s="197">
        <v>39933</v>
      </c>
      <c r="Z274" s="197">
        <v>6135.677419354839</v>
      </c>
      <c r="AA274" s="197">
        <v>182.25806451612902</v>
      </c>
      <c r="AB274" s="197">
        <v>56.677419354838712</v>
      </c>
      <c r="AC274" s="197">
        <v>1820.6774193548388</v>
      </c>
      <c r="AD274" s="197">
        <v>963.70967741935488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4905.2847608454467</v>
      </c>
    </row>
    <row r="275" spans="3:39" s="205" customFormat="1" x14ac:dyDescent="0.2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596.29999999999995</v>
      </c>
      <c r="I275" s="197">
        <v>123.7</v>
      </c>
      <c r="J275" s="306">
        <v>3179.3333333333298</v>
      </c>
      <c r="K275" s="307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9401.1666666666661</v>
      </c>
      <c r="T275" s="197">
        <v>3353.4</v>
      </c>
      <c r="U275" s="197">
        <v>5271.2</v>
      </c>
      <c r="V275" s="197">
        <v>0</v>
      </c>
      <c r="W275" s="198"/>
      <c r="X275" s="197">
        <v>54283.033333333333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t="shared" ref="AI275:AI284" si="38">SUM(E275:AH275)</f>
        <v>142185.83333333328</v>
      </c>
      <c r="AJ275" s="206">
        <f t="shared" ref="AJ275:AJ283" si="39">+AJ274</f>
        <v>135096</v>
      </c>
      <c r="AK275" s="200">
        <f t="shared" si="37"/>
        <v>5745.9623655913165</v>
      </c>
      <c r="AM275" s="206"/>
    </row>
    <row r="276" spans="3:39" s="205" customFormat="1" x14ac:dyDescent="0.2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339.77419354838707</v>
      </c>
      <c r="G276" s="197">
        <v>975.25806451612902</v>
      </c>
      <c r="H276" s="197">
        <v>601.0322580645161</v>
      </c>
      <c r="I276" s="197">
        <v>128.74193548387098</v>
      </c>
      <c r="J276" s="306">
        <v>3165.16129032258</v>
      </c>
      <c r="K276" s="307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9326.9354838709678</v>
      </c>
      <c r="T276" s="197">
        <v>2876.516129032258</v>
      </c>
      <c r="U276" s="197">
        <v>6048.7741935483873</v>
      </c>
      <c r="V276" s="197">
        <v>0</v>
      </c>
      <c r="W276" s="198"/>
      <c r="X276" s="197">
        <v>55623.258064516129</v>
      </c>
      <c r="Y276" s="197">
        <v>33996.483870967742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4275.4892473118962</v>
      </c>
    </row>
    <row r="277" spans="3:39" s="211" customFormat="1" x14ac:dyDescent="0.2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607.29999999999995</v>
      </c>
      <c r="I277" s="208">
        <v>128.36666666666667</v>
      </c>
      <c r="J277" s="306">
        <v>3254.8666666666668</v>
      </c>
      <c r="K277" s="307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9383.5666666666675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9357.3333333333339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9" s="211" customFormat="1" x14ac:dyDescent="0.2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967.77419354838707</v>
      </c>
      <c r="H278" s="208">
        <v>637.64516129032256</v>
      </c>
      <c r="I278" s="208">
        <v>134.16129032258064</v>
      </c>
      <c r="J278" s="306">
        <v>3235.8387096774195</v>
      </c>
      <c r="K278" s="307"/>
      <c r="L278" s="208">
        <v>179.93548387096774</v>
      </c>
      <c r="M278" s="208">
        <v>10581.193548387097</v>
      </c>
      <c r="N278" s="208"/>
      <c r="O278" s="208">
        <v>3546.5483870967741</v>
      </c>
      <c r="P278" s="208"/>
      <c r="Q278" s="208">
        <v>46.032258064516128</v>
      </c>
      <c r="R278" s="208">
        <v>15.870967741935484</v>
      </c>
      <c r="S278" s="208">
        <v>9072.2903225806458</v>
      </c>
      <c r="T278" s="208">
        <v>4514.8387096774195</v>
      </c>
      <c r="U278" s="208">
        <v>6118.7096774193551</v>
      </c>
      <c r="V278" s="208">
        <v>0</v>
      </c>
      <c r="W278" s="208"/>
      <c r="X278" s="208">
        <v>53051.451612903227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50.451612903225808</v>
      </c>
      <c r="AC278" s="208">
        <v>729.06451612903231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9" s="211" customFormat="1" x14ac:dyDescent="0.2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935.74193548387098</v>
      </c>
      <c r="H279" s="208">
        <v>615.83870967741939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9502.2258064516136</v>
      </c>
      <c r="T279" s="208">
        <v>2827.5483870967741</v>
      </c>
      <c r="U279" s="208">
        <v>6092.4838709677415</v>
      </c>
      <c r="V279" s="208">
        <v>0</v>
      </c>
      <c r="W279" s="214"/>
      <c r="X279" s="208">
        <v>53724.774193548386</v>
      </c>
      <c r="Y279" s="208">
        <v>34606.032258064515</v>
      </c>
      <c r="Z279" s="208">
        <v>11677.032258064517</v>
      </c>
      <c r="AA279" s="208">
        <v>52.967741935483872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143466.16129032261</v>
      </c>
      <c r="AJ279" s="206">
        <f t="shared" si="39"/>
        <v>135096</v>
      </c>
      <c r="AK279" s="203">
        <f t="shared" si="37"/>
        <v>410.0322580645734</v>
      </c>
    </row>
    <row r="280" spans="3:39" s="211" customFormat="1" x14ac:dyDescent="0.25">
      <c r="C280" s="195">
        <f t="shared" si="36"/>
        <v>2016.7499909000135</v>
      </c>
      <c r="D280" s="207">
        <v>42614</v>
      </c>
      <c r="E280" s="208">
        <v>1072.4000000000001</v>
      </c>
      <c r="F280" s="208">
        <v>273.7</v>
      </c>
      <c r="G280" s="208">
        <v>943.36666666666667</v>
      </c>
      <c r="H280" s="208">
        <v>601.63333333333333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45.366666666666667</v>
      </c>
      <c r="R280" s="208">
        <v>14.033333333333333</v>
      </c>
      <c r="S280" s="208">
        <v>9208.4666666666672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45180.133333333331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2983.8666666666668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9" s="205" customFormat="1" x14ac:dyDescent="0.2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318.32258064516128</v>
      </c>
      <c r="G281" s="197">
        <v>936.80645161290317</v>
      </c>
      <c r="H281" s="197">
        <v>609.48387096774195</v>
      </c>
      <c r="I281" s="197">
        <v>135</v>
      </c>
      <c r="J281" s="215">
        <v>3232.1290322580644</v>
      </c>
      <c r="K281" s="216"/>
      <c r="L281" s="197">
        <v>193.45161290322579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49353.129032258068</v>
      </c>
      <c r="Y281" s="197">
        <v>34508.032258064515</v>
      </c>
      <c r="Z281" s="197">
        <v>10156.774193548386</v>
      </c>
      <c r="AA281" s="197">
        <v>79.096774193548384</v>
      </c>
      <c r="AB281" s="197">
        <v>40.58064516129032</v>
      </c>
      <c r="AC281" s="197">
        <v>1498.7741935483871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131878.61290322579</v>
      </c>
      <c r="AJ281" s="206">
        <f t="shared" si="39"/>
        <v>135096</v>
      </c>
      <c r="AK281" s="203">
        <f>+AI281-AI280</f>
        <v>3381.3462365591258</v>
      </c>
    </row>
    <row r="282" spans="3:39" s="205" customFormat="1" x14ac:dyDescent="0.2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627.79999999999995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3104.2666666666669</v>
      </c>
      <c r="P282" s="197"/>
      <c r="Q282" s="197">
        <v>45.666666666666664</v>
      </c>
      <c r="R282" s="197">
        <v>12.166666666666666</v>
      </c>
      <c r="S282" s="197">
        <v>9940.9333333333325</v>
      </c>
      <c r="T282" s="197">
        <v>2642.8666666666668</v>
      </c>
      <c r="U282" s="197">
        <v>0</v>
      </c>
      <c r="V282" s="197">
        <v>0</v>
      </c>
      <c r="W282" s="198"/>
      <c r="X282" s="197">
        <v>52816.866666666669</v>
      </c>
      <c r="Y282" s="197">
        <v>36082.866666666669</v>
      </c>
      <c r="Z282" s="197">
        <v>10601.8</v>
      </c>
      <c r="AA282" s="197">
        <v>63.966666666666669</v>
      </c>
      <c r="AB282" s="197">
        <v>43.133333333333333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5002.0870967741939</v>
      </c>
    </row>
    <row r="283" spans="3:39" s="201" customFormat="1" x14ac:dyDescent="0.25">
      <c r="C283" s="195">
        <f t="shared" si="36"/>
        <v>2016.9999908000136</v>
      </c>
      <c r="D283" s="196">
        <v>42705</v>
      </c>
      <c r="E283" s="197">
        <v>954.19354838709683</v>
      </c>
      <c r="F283" s="197">
        <v>320.64516129032256</v>
      </c>
      <c r="G283" s="197">
        <v>910.41935483870964</v>
      </c>
      <c r="H283" s="197">
        <v>845.61290322580646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41.548387096774192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9918.8064516129034</v>
      </c>
      <c r="AA283" s="197">
        <v>32.774193548387096</v>
      </c>
      <c r="AB283" s="197">
        <v>41.645161290322584</v>
      </c>
      <c r="AC283" s="197">
        <v>818.38709677419354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138207.77419354839</v>
      </c>
      <c r="AJ283" s="206">
        <f t="shared" si="39"/>
        <v>135096</v>
      </c>
      <c r="AK283" s="200">
        <f t="shared" si="37"/>
        <v>1327.0741935484111</v>
      </c>
    </row>
    <row r="284" spans="3:39" s="225" customFormat="1" x14ac:dyDescent="0.25">
      <c r="C284" s="223">
        <f t="shared" si="36"/>
        <v>2017.0833241000137</v>
      </c>
      <c r="D284" s="224">
        <v>42736</v>
      </c>
      <c r="E284" s="247">
        <v>921.35483870967744</v>
      </c>
      <c r="F284" s="247">
        <v>308.16129032258067</v>
      </c>
      <c r="G284" s="247">
        <v>922.41935483870964</v>
      </c>
      <c r="H284" s="247">
        <v>1435.7741935483871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38.322580645161288</v>
      </c>
      <c r="R284" s="247">
        <v>11.96774193548387</v>
      </c>
      <c r="S284" s="247">
        <v>9185</v>
      </c>
      <c r="T284" s="247">
        <v>378.64516129032256</v>
      </c>
      <c r="U284" s="247">
        <v>5753.2258064516127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65.516129032258064</v>
      </c>
      <c r="AB284" s="247">
        <v>0</v>
      </c>
      <c r="AC284" s="247">
        <v>1265.2258064516129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-4162.8709677419392</v>
      </c>
      <c r="AL284" s="227"/>
    </row>
    <row r="285" spans="3:39" s="142" customFormat="1" x14ac:dyDescent="0.2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9" s="142" customFormat="1" x14ac:dyDescent="0.2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t="shared" ref="AJ286:AJ295" si="40">+AJ285</f>
        <v>134341</v>
      </c>
      <c r="AK286" s="226">
        <f t="shared" si="37"/>
        <v>-2212</v>
      </c>
    </row>
    <row r="287" spans="3:39" s="142" customFormat="1" x14ac:dyDescent="0.2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9" x14ac:dyDescent="0.2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t="shared" ref="AK288:AK294" si="41">+AI288-AI287</f>
        <v>1812</v>
      </c>
    </row>
    <row r="289" spans="1:39" x14ac:dyDescent="0.25">
      <c r="C289" s="223">
        <f t="shared" si="36"/>
        <v>2017.4999906000139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1:39" x14ac:dyDescent="0.2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1:39" x14ac:dyDescent="0.2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1:39" x14ac:dyDescent="0.25">
      <c r="C292" s="223">
        <f t="shared" si="36"/>
        <v>2017.7499905000141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1:39" x14ac:dyDescent="0.25">
      <c r="C293" s="223">
        <f t="shared" si="36"/>
        <v>2017.8333238000141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1:39" x14ac:dyDescent="0.2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1:39" x14ac:dyDescent="0.2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9" x14ac:dyDescent="0.2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t="shared" ref="AK296:AK302" si="42">+AI296-AI295</f>
        <v>-2952</v>
      </c>
    </row>
    <row r="297" spans="1:39" x14ac:dyDescent="0.2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t="shared" ref="AJ297:AJ303" si="43">+AJ296</f>
        <v>132205</v>
      </c>
      <c r="AK297" s="263">
        <f t="shared" si="42"/>
        <v>-36676</v>
      </c>
    </row>
    <row r="298" spans="1:39" x14ac:dyDescent="0.2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9" x14ac:dyDescent="0.2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9" x14ac:dyDescent="0.2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9" x14ac:dyDescent="0.25">
      <c r="A301" s="257"/>
      <c r="B301" s="257"/>
      <c r="C301" s="258">
        <f t="shared" ref="C301:C307" si="44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  <c r="AM301" s="138"/>
    </row>
    <row r="302" spans="1:39" x14ac:dyDescent="0.2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9" x14ac:dyDescent="0.2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t="shared" ref="AK303:AK309" si="45">+AI303-AI302</f>
        <v>-16207</v>
      </c>
    </row>
    <row r="304" spans="1:39" x14ac:dyDescent="0.2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9" x14ac:dyDescent="0.2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9" x14ac:dyDescent="0.2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9" x14ac:dyDescent="0.2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9" x14ac:dyDescent="0.25">
      <c r="C308" s="267">
        <f t="shared" ref="C308:C313" si="46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139721</v>
      </c>
      <c r="AK308" s="272">
        <f t="shared" si="45"/>
        <v>-8987</v>
      </c>
    </row>
    <row r="309" spans="3:39" x14ac:dyDescent="0.25">
      <c r="C309" s="267">
        <f t="shared" si="46"/>
        <v>2019.1666566000149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139721</v>
      </c>
      <c r="AK309" s="272">
        <f t="shared" si="45"/>
        <v>11199</v>
      </c>
    </row>
    <row r="310" spans="3:39" x14ac:dyDescent="0.2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139721</v>
      </c>
      <c r="AK310" s="272">
        <f t="shared" ref="AK310:AK315" si="47">+AI310-AI309</f>
        <v>-2395</v>
      </c>
    </row>
    <row r="311" spans="3:39" x14ac:dyDescent="0.2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139721</v>
      </c>
      <c r="AK311" s="272">
        <f t="shared" si="47"/>
        <v>-10223</v>
      </c>
      <c r="AM311" s="138"/>
    </row>
    <row r="312" spans="3:39" x14ac:dyDescent="0.25">
      <c r="C312" s="267">
        <f t="shared" si="46"/>
        <v>2019.4166565000151</v>
      </c>
      <c r="D312" s="268">
        <v>43586</v>
      </c>
      <c r="AI312" s="270">
        <v>136208</v>
      </c>
      <c r="AJ312" s="271">
        <v>139721</v>
      </c>
      <c r="AK312" s="272">
        <f t="shared" si="47"/>
        <v>6337</v>
      </c>
    </row>
    <row r="313" spans="3:39" x14ac:dyDescent="0.25">
      <c r="C313" s="267">
        <f t="shared" si="46"/>
        <v>2019.4999898000151</v>
      </c>
      <c r="D313" s="268">
        <v>43617</v>
      </c>
      <c r="AI313" s="270">
        <v>136972</v>
      </c>
      <c r="AJ313" s="271">
        <v>139721</v>
      </c>
      <c r="AK313" s="272">
        <f t="shared" si="47"/>
        <v>764</v>
      </c>
    </row>
    <row r="314" spans="3:39" x14ac:dyDescent="0.25">
      <c r="C314" s="267">
        <f t="shared" ref="C314:C327" si="48">+C313+0.0833333</f>
        <v>2019.5833231000151</v>
      </c>
      <c r="D314" s="268">
        <v>43647</v>
      </c>
      <c r="AI314" s="270">
        <v>132067</v>
      </c>
      <c r="AJ314" s="271">
        <v>139721</v>
      </c>
      <c r="AK314" s="272">
        <f t="shared" si="47"/>
        <v>-4905</v>
      </c>
    </row>
    <row r="315" spans="3:39" x14ac:dyDescent="0.25">
      <c r="C315" s="267">
        <f t="shared" si="48"/>
        <v>2019.6666564000152</v>
      </c>
      <c r="D315" s="268">
        <v>43678</v>
      </c>
      <c r="AI315" s="270">
        <v>142623</v>
      </c>
      <c r="AJ315" s="271">
        <v>139721</v>
      </c>
      <c r="AK315" s="272">
        <f t="shared" si="47"/>
        <v>10556</v>
      </c>
    </row>
    <row r="316" spans="3:39" x14ac:dyDescent="0.25">
      <c r="C316" s="267">
        <f t="shared" si="48"/>
        <v>2019.7499897000152</v>
      </c>
      <c r="D316" s="268">
        <v>43709</v>
      </c>
      <c r="AI316" s="270">
        <v>149391</v>
      </c>
      <c r="AJ316" s="271">
        <v>139721</v>
      </c>
      <c r="AK316" s="272">
        <f t="shared" ref="AK316:AK321" si="49">+AI316-AI315</f>
        <v>6768</v>
      </c>
    </row>
    <row r="317" spans="3:39" x14ac:dyDescent="0.25">
      <c r="C317" s="267">
        <f t="shared" si="48"/>
        <v>2019.8333230000153</v>
      </c>
      <c r="D317" s="268">
        <v>43739</v>
      </c>
      <c r="AI317" s="270">
        <v>138069</v>
      </c>
      <c r="AJ317" s="271">
        <v>139721</v>
      </c>
      <c r="AK317" s="272">
        <f t="shared" si="49"/>
        <v>-11322</v>
      </c>
    </row>
    <row r="318" spans="3:39" x14ac:dyDescent="0.25">
      <c r="C318" s="267">
        <f t="shared" si="48"/>
        <v>2019.9166563000153</v>
      </c>
      <c r="D318" s="268">
        <v>43770</v>
      </c>
      <c r="AI318" s="270">
        <v>152710</v>
      </c>
      <c r="AJ318" s="271">
        <v>139721</v>
      </c>
      <c r="AK318" s="272">
        <f t="shared" si="49"/>
        <v>14641</v>
      </c>
    </row>
    <row r="319" spans="3:39" x14ac:dyDescent="0.25">
      <c r="C319" s="267">
        <f t="shared" si="48"/>
        <v>2019.9999896000154</v>
      </c>
      <c r="D319" s="268">
        <v>43800</v>
      </c>
      <c r="AI319" s="270">
        <v>145463</v>
      </c>
      <c r="AJ319" s="271">
        <v>139721</v>
      </c>
      <c r="AK319" s="272">
        <f t="shared" si="49"/>
        <v>-7247</v>
      </c>
      <c r="AM319" s="138"/>
    </row>
    <row r="320" spans="3:39" x14ac:dyDescent="0.25">
      <c r="C320" s="278">
        <f t="shared" si="48"/>
        <v>2020.0833229000154</v>
      </c>
      <c r="D320" s="279">
        <v>43831</v>
      </c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280">
        <v>146235</v>
      </c>
      <c r="AJ320" s="128">
        <v>124622</v>
      </c>
      <c r="AK320" s="281">
        <f t="shared" si="49"/>
        <v>772</v>
      </c>
    </row>
    <row r="321" spans="3:38" x14ac:dyDescent="0.25">
      <c r="C321" s="278">
        <f t="shared" si="48"/>
        <v>2020.1666562000155</v>
      </c>
      <c r="D321" s="279">
        <v>43862</v>
      </c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280">
        <v>151488</v>
      </c>
      <c r="AJ321" s="128">
        <v>124622</v>
      </c>
      <c r="AK321" s="281">
        <f t="shared" si="49"/>
        <v>5253</v>
      </c>
    </row>
    <row r="322" spans="3:38" x14ac:dyDescent="0.25">
      <c r="C322" s="278">
        <f t="shared" si="48"/>
        <v>2020.2499895000155</v>
      </c>
      <c r="D322" s="279">
        <v>43891</v>
      </c>
      <c r="AI322" s="280">
        <v>122861</v>
      </c>
      <c r="AJ322" s="128">
        <v>124622</v>
      </c>
      <c r="AK322" s="281">
        <f t="shared" ref="AK322:AK327" si="50">+AI322-AI321</f>
        <v>-28627</v>
      </c>
    </row>
    <row r="323" spans="3:38" x14ac:dyDescent="0.25">
      <c r="C323" s="278">
        <f t="shared" si="48"/>
        <v>2020.3333228000156</v>
      </c>
      <c r="D323" s="279">
        <v>43922</v>
      </c>
      <c r="AI323" s="280">
        <v>119608</v>
      </c>
      <c r="AJ323" s="128">
        <v>124622</v>
      </c>
      <c r="AK323" s="281">
        <f t="shared" si="50"/>
        <v>-3253</v>
      </c>
    </row>
    <row r="324" spans="3:38" x14ac:dyDescent="0.25">
      <c r="C324" s="278">
        <f t="shared" si="48"/>
        <v>2020.4166561000156</v>
      </c>
      <c r="D324" s="279">
        <v>43952</v>
      </c>
      <c r="AI324" s="280">
        <v>110530</v>
      </c>
      <c r="AJ324" s="128">
        <v>124622</v>
      </c>
      <c r="AK324" s="281">
        <f t="shared" si="50"/>
        <v>-9078</v>
      </c>
      <c r="AL324" s="138"/>
    </row>
    <row r="325" spans="3:38" x14ac:dyDescent="0.25">
      <c r="C325" s="278">
        <f t="shared" si="48"/>
        <v>2020.4999894000157</v>
      </c>
      <c r="D325" s="279">
        <v>43983</v>
      </c>
      <c r="AI325" s="280">
        <v>114077</v>
      </c>
      <c r="AJ325" s="128">
        <v>124622</v>
      </c>
      <c r="AK325" s="281">
        <f t="shared" si="50"/>
        <v>3547</v>
      </c>
    </row>
    <row r="326" spans="3:38" x14ac:dyDescent="0.25">
      <c r="C326" s="278">
        <f t="shared" si="48"/>
        <v>2020.5833227000157</v>
      </c>
      <c r="D326" s="279">
        <v>44013</v>
      </c>
      <c r="AI326" s="280">
        <v>123381</v>
      </c>
      <c r="AJ326" s="128">
        <v>124622</v>
      </c>
      <c r="AK326" s="281">
        <f t="shared" si="50"/>
        <v>9304</v>
      </c>
    </row>
    <row r="327" spans="3:38" x14ac:dyDescent="0.25">
      <c r="C327" s="278">
        <f t="shared" si="48"/>
        <v>2020.6666560000158</v>
      </c>
      <c r="D327" s="279">
        <v>44044</v>
      </c>
      <c r="AI327" s="280">
        <v>119820</v>
      </c>
      <c r="AJ327" s="128">
        <v>124622</v>
      </c>
      <c r="AK327" s="281">
        <f t="shared" si="50"/>
        <v>-3561</v>
      </c>
    </row>
    <row r="328" spans="3:38" x14ac:dyDescent="0.25">
      <c r="C328" s="278">
        <f>+C327+0.0833333</f>
        <v>2020.7499893000158</v>
      </c>
      <c r="D328" s="279">
        <v>44075</v>
      </c>
      <c r="E328" s="279">
        <v>44075</v>
      </c>
      <c r="F328" s="279">
        <v>44075</v>
      </c>
      <c r="G328" s="279">
        <v>44075</v>
      </c>
      <c r="H328" s="279">
        <v>44075</v>
      </c>
      <c r="I328" s="279">
        <v>44075</v>
      </c>
      <c r="J328" s="279">
        <v>44075</v>
      </c>
      <c r="K328" s="279">
        <v>44075</v>
      </c>
      <c r="L328" s="279">
        <v>44075</v>
      </c>
      <c r="M328" s="279">
        <v>44075</v>
      </c>
      <c r="N328" s="279">
        <v>44075</v>
      </c>
      <c r="O328" s="279">
        <v>44075</v>
      </c>
      <c r="P328" s="279">
        <v>44075</v>
      </c>
      <c r="Q328" s="279">
        <v>44075</v>
      </c>
      <c r="R328" s="279">
        <v>44075</v>
      </c>
      <c r="S328" s="279">
        <v>44075</v>
      </c>
      <c r="T328" s="279">
        <v>44075</v>
      </c>
      <c r="U328" s="279">
        <v>44075</v>
      </c>
      <c r="V328" s="279">
        <v>44075</v>
      </c>
      <c r="W328" s="279">
        <v>44075</v>
      </c>
      <c r="X328" s="279">
        <v>44075</v>
      </c>
      <c r="Y328" s="279">
        <v>44075</v>
      </c>
      <c r="Z328" s="279">
        <v>44075</v>
      </c>
      <c r="AA328" s="279">
        <v>44075</v>
      </c>
      <c r="AB328" s="279">
        <v>44075</v>
      </c>
      <c r="AC328" s="279">
        <v>44075</v>
      </c>
      <c r="AD328" s="279">
        <v>44075</v>
      </c>
      <c r="AE328" s="279">
        <v>44075</v>
      </c>
      <c r="AI328" s="280">
        <v>120007</v>
      </c>
      <c r="AJ328" s="128">
        <v>124622</v>
      </c>
      <c r="AK328" s="281">
        <f t="shared" ref="AK328:AK331" si="51">+AI328-AI327</f>
        <v>187</v>
      </c>
    </row>
    <row r="329" spans="3:38" x14ac:dyDescent="0.25">
      <c r="C329" s="278">
        <f>+C328+0.0833333</f>
        <v>2020.8333226000159</v>
      </c>
      <c r="D329" s="279">
        <v>44105</v>
      </c>
      <c r="E329" s="279">
        <v>44105</v>
      </c>
      <c r="F329" s="279">
        <v>44105</v>
      </c>
      <c r="G329" s="279">
        <v>44105</v>
      </c>
      <c r="H329" s="279">
        <v>44105</v>
      </c>
      <c r="I329" s="279">
        <v>44105</v>
      </c>
      <c r="J329" s="279">
        <v>44105</v>
      </c>
      <c r="K329" s="279">
        <v>44105</v>
      </c>
      <c r="L329" s="279">
        <v>44105</v>
      </c>
      <c r="M329" s="279">
        <v>44105</v>
      </c>
      <c r="N329" s="279">
        <v>44105</v>
      </c>
      <c r="O329" s="279">
        <v>44105</v>
      </c>
      <c r="P329" s="279">
        <v>44105</v>
      </c>
      <c r="Q329" s="279">
        <v>44105</v>
      </c>
      <c r="R329" s="279">
        <v>44105</v>
      </c>
      <c r="S329" s="279">
        <v>44105</v>
      </c>
      <c r="T329" s="279">
        <v>44105</v>
      </c>
      <c r="U329" s="279">
        <v>44105</v>
      </c>
      <c r="V329" s="279">
        <v>44105</v>
      </c>
      <c r="W329" s="279">
        <v>44105</v>
      </c>
      <c r="X329" s="279">
        <v>44105</v>
      </c>
      <c r="Y329" s="279">
        <v>44105</v>
      </c>
      <c r="Z329" s="279">
        <v>44105</v>
      </c>
      <c r="AA329" s="279">
        <v>44105</v>
      </c>
      <c r="AB329" s="279">
        <v>44105</v>
      </c>
      <c r="AC329" s="279">
        <v>44105</v>
      </c>
      <c r="AD329" s="279">
        <v>44105</v>
      </c>
      <c r="AE329" s="279">
        <v>44105</v>
      </c>
      <c r="AI329" s="280">
        <v>122003</v>
      </c>
      <c r="AJ329" s="128">
        <v>124622</v>
      </c>
      <c r="AK329" s="281">
        <f t="shared" si="51"/>
        <v>1996</v>
      </c>
    </row>
    <row r="330" spans="3:38" x14ac:dyDescent="0.25">
      <c r="C330" s="278">
        <f>+C329+0.0833333</f>
        <v>2020.9166559000159</v>
      </c>
      <c r="D330" s="279">
        <v>44136</v>
      </c>
      <c r="E330" s="279">
        <v>44136</v>
      </c>
      <c r="F330" s="279">
        <v>44136</v>
      </c>
      <c r="G330" s="279">
        <v>44136</v>
      </c>
      <c r="H330" s="279">
        <v>44136</v>
      </c>
      <c r="I330" s="279">
        <v>44136</v>
      </c>
      <c r="J330" s="279">
        <v>44136</v>
      </c>
      <c r="K330" s="279">
        <v>44136</v>
      </c>
      <c r="L330" s="279">
        <v>44136</v>
      </c>
      <c r="M330" s="279">
        <v>44136</v>
      </c>
      <c r="N330" s="279">
        <v>44136</v>
      </c>
      <c r="O330" s="279">
        <v>44136</v>
      </c>
      <c r="P330" s="279">
        <v>44136</v>
      </c>
      <c r="Q330" s="279">
        <v>44136</v>
      </c>
      <c r="R330" s="279">
        <v>44136</v>
      </c>
      <c r="S330" s="279">
        <v>44136</v>
      </c>
      <c r="T330" s="279">
        <v>44136</v>
      </c>
      <c r="U330" s="279">
        <v>44136</v>
      </c>
      <c r="V330" s="279">
        <v>44136</v>
      </c>
      <c r="W330" s="279">
        <v>44136</v>
      </c>
      <c r="X330" s="279">
        <v>44136</v>
      </c>
      <c r="Y330" s="279">
        <v>44136</v>
      </c>
      <c r="Z330" s="279">
        <v>44136</v>
      </c>
      <c r="AA330" s="279">
        <v>44136</v>
      </c>
      <c r="AB330" s="279">
        <v>44136</v>
      </c>
      <c r="AC330" s="279">
        <v>44136</v>
      </c>
      <c r="AD330" s="279">
        <v>44136</v>
      </c>
      <c r="AE330" s="279">
        <v>44136</v>
      </c>
      <c r="AI330" s="280">
        <v>123907</v>
      </c>
      <c r="AJ330" s="128">
        <v>124622</v>
      </c>
      <c r="AK330" s="281">
        <f t="shared" si="51"/>
        <v>1904</v>
      </c>
    </row>
    <row r="331" spans="3:38" x14ac:dyDescent="0.25">
      <c r="C331" s="278">
        <f>+C330+0.0833333</f>
        <v>2020.999989200016</v>
      </c>
      <c r="D331" s="279">
        <v>44166</v>
      </c>
      <c r="E331" s="279">
        <v>44166</v>
      </c>
      <c r="F331" s="279">
        <v>44166</v>
      </c>
      <c r="G331" s="279">
        <v>44166</v>
      </c>
      <c r="H331" s="279">
        <v>44166</v>
      </c>
      <c r="I331" s="279">
        <v>44166</v>
      </c>
      <c r="J331" s="279">
        <v>44166</v>
      </c>
      <c r="K331" s="279">
        <v>44166</v>
      </c>
      <c r="L331" s="279">
        <v>44166</v>
      </c>
      <c r="M331" s="279">
        <v>44166</v>
      </c>
      <c r="N331" s="279">
        <v>44166</v>
      </c>
      <c r="O331" s="279">
        <v>44166</v>
      </c>
      <c r="P331" s="279">
        <v>44166</v>
      </c>
      <c r="Q331" s="279">
        <v>44166</v>
      </c>
      <c r="R331" s="279">
        <v>44166</v>
      </c>
      <c r="S331" s="279">
        <v>44166</v>
      </c>
      <c r="T331" s="279">
        <v>44166</v>
      </c>
      <c r="U331" s="279">
        <v>44166</v>
      </c>
      <c r="V331" s="279">
        <v>44166</v>
      </c>
      <c r="W331" s="279">
        <v>44166</v>
      </c>
      <c r="X331" s="279">
        <v>44166</v>
      </c>
      <c r="Y331" s="279">
        <v>44166</v>
      </c>
      <c r="Z331" s="279">
        <v>44166</v>
      </c>
      <c r="AA331" s="279">
        <v>44166</v>
      </c>
      <c r="AB331" s="279">
        <v>44166</v>
      </c>
      <c r="AC331" s="279">
        <v>44166</v>
      </c>
      <c r="AD331" s="279">
        <v>44166</v>
      </c>
      <c r="AE331" s="279">
        <v>44166</v>
      </c>
      <c r="AI331" s="280">
        <v>122604</v>
      </c>
      <c r="AJ331" s="128">
        <v>124622</v>
      </c>
      <c r="AK331" s="281">
        <f t="shared" si="51"/>
        <v>-1303</v>
      </c>
    </row>
    <row r="332" spans="3:38" x14ac:dyDescent="0.25">
      <c r="C332" s="290">
        <f t="shared" ref="C332:C343" si="52">+C331+0.0833333</f>
        <v>2021.083322500016</v>
      </c>
      <c r="D332" s="284">
        <v>44197</v>
      </c>
      <c r="E332" s="284">
        <v>44197</v>
      </c>
      <c r="F332" s="284">
        <v>44197</v>
      </c>
      <c r="G332" s="284">
        <v>44197</v>
      </c>
      <c r="H332" s="284">
        <v>44197</v>
      </c>
      <c r="I332" s="284">
        <v>44197</v>
      </c>
      <c r="J332" s="284">
        <v>44197</v>
      </c>
      <c r="K332" s="284">
        <v>44197</v>
      </c>
      <c r="L332" s="284">
        <v>44197</v>
      </c>
      <c r="M332" s="284">
        <v>44197</v>
      </c>
      <c r="N332" s="284">
        <v>44197</v>
      </c>
      <c r="O332" s="284">
        <v>44197</v>
      </c>
      <c r="P332" s="284">
        <v>44197</v>
      </c>
      <c r="Q332" s="284">
        <v>44197</v>
      </c>
      <c r="R332" s="284">
        <v>44197</v>
      </c>
      <c r="S332" s="284">
        <v>44197</v>
      </c>
      <c r="T332" s="284">
        <v>44197</v>
      </c>
      <c r="U332" s="284">
        <v>44197</v>
      </c>
      <c r="V332" s="284">
        <v>44197</v>
      </c>
      <c r="W332" s="284">
        <v>44197</v>
      </c>
      <c r="X332" s="284">
        <v>44197</v>
      </c>
      <c r="Y332" s="284">
        <v>44197</v>
      </c>
      <c r="Z332" s="284">
        <v>44197</v>
      </c>
      <c r="AA332" s="284">
        <v>44197</v>
      </c>
      <c r="AB332" s="284">
        <v>44197</v>
      </c>
      <c r="AC332" s="284">
        <v>44197</v>
      </c>
      <c r="AD332" s="284">
        <v>44197</v>
      </c>
      <c r="AE332" s="284">
        <v>44197</v>
      </c>
      <c r="AF332" s="285"/>
      <c r="AG332" s="285"/>
      <c r="AH332" s="285"/>
      <c r="AI332" s="286">
        <v>120525</v>
      </c>
      <c r="AJ332" s="293">
        <v>118908</v>
      </c>
      <c r="AK332" s="291">
        <f>+AI332-AI331</f>
        <v>-2079</v>
      </c>
    </row>
    <row r="333" spans="3:38" x14ac:dyDescent="0.25">
      <c r="C333" s="290">
        <f t="shared" si="52"/>
        <v>2021.1666558000161</v>
      </c>
      <c r="D333" s="284">
        <v>44228</v>
      </c>
      <c r="E333" s="284">
        <v>44228</v>
      </c>
      <c r="F333" s="284">
        <v>44228</v>
      </c>
      <c r="G333" s="284">
        <v>44228</v>
      </c>
      <c r="H333" s="284">
        <v>44228</v>
      </c>
      <c r="I333" s="284">
        <v>44228</v>
      </c>
      <c r="J333" s="284">
        <v>44228</v>
      </c>
      <c r="K333" s="284">
        <v>44228</v>
      </c>
      <c r="L333" s="284">
        <v>44228</v>
      </c>
      <c r="M333" s="284">
        <v>44228</v>
      </c>
      <c r="N333" s="284">
        <v>44228</v>
      </c>
      <c r="O333" s="284">
        <v>44228</v>
      </c>
      <c r="P333" s="284">
        <v>44228</v>
      </c>
      <c r="Q333" s="284">
        <v>44228</v>
      </c>
      <c r="R333" s="284">
        <v>44228</v>
      </c>
      <c r="S333" s="284">
        <v>44228</v>
      </c>
      <c r="T333" s="284">
        <v>44228</v>
      </c>
      <c r="U333" s="284">
        <v>44228</v>
      </c>
      <c r="V333" s="284">
        <v>44228</v>
      </c>
      <c r="W333" s="284">
        <v>44228</v>
      </c>
      <c r="X333" s="284">
        <v>44228</v>
      </c>
      <c r="Y333" s="284">
        <v>44228</v>
      </c>
      <c r="Z333" s="284">
        <v>44228</v>
      </c>
      <c r="AA333" s="284">
        <v>44228</v>
      </c>
      <c r="AB333" s="284">
        <v>44228</v>
      </c>
      <c r="AC333" s="284">
        <v>44228</v>
      </c>
      <c r="AD333" s="284">
        <v>44228</v>
      </c>
      <c r="AE333" s="284">
        <v>44228</v>
      </c>
      <c r="AF333" s="285"/>
      <c r="AG333" s="285"/>
      <c r="AH333" s="285"/>
      <c r="AI333" s="286">
        <v>120467</v>
      </c>
      <c r="AJ333" s="293">
        <f>+AJ332</f>
        <v>118908</v>
      </c>
      <c r="AK333" s="291">
        <f>+AI333-AI332</f>
        <v>-58</v>
      </c>
    </row>
    <row r="334" spans="3:38" x14ac:dyDescent="0.25">
      <c r="C334" s="290">
        <f t="shared" si="52"/>
        <v>2021.2499891000161</v>
      </c>
      <c r="D334" s="284">
        <v>44256</v>
      </c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285"/>
      <c r="R334" s="285"/>
      <c r="S334" s="285"/>
      <c r="T334" s="285"/>
      <c r="U334" s="285"/>
      <c r="V334" s="285"/>
      <c r="W334" s="285"/>
      <c r="X334" s="285"/>
      <c r="Y334" s="285"/>
      <c r="Z334" s="285"/>
      <c r="AA334" s="285"/>
      <c r="AB334" s="285"/>
      <c r="AC334" s="285"/>
      <c r="AD334" s="285"/>
      <c r="AE334" s="285"/>
      <c r="AF334" s="285"/>
      <c r="AG334" s="285"/>
      <c r="AH334" s="285"/>
      <c r="AI334" s="286">
        <v>101910</v>
      </c>
      <c r="AJ334" s="293">
        <f>+AJ333</f>
        <v>118908</v>
      </c>
      <c r="AK334" s="291">
        <f t="shared" ref="AK334:AK336" si="53">+AI334-AI333</f>
        <v>-18557</v>
      </c>
    </row>
    <row r="335" spans="3:38" x14ac:dyDescent="0.25">
      <c r="C335" s="290">
        <f t="shared" si="52"/>
        <v>2021.3333224000162</v>
      </c>
      <c r="D335" s="284">
        <v>44287</v>
      </c>
      <c r="E335" s="285"/>
      <c r="F335" s="285"/>
      <c r="G335" s="285"/>
      <c r="H335" s="285"/>
      <c r="I335" s="285"/>
      <c r="J335" s="285"/>
      <c r="K335" s="285"/>
      <c r="L335" s="285"/>
      <c r="M335" s="285"/>
      <c r="N335" s="285"/>
      <c r="O335" s="285"/>
      <c r="P335" s="285"/>
      <c r="Q335" s="285"/>
      <c r="R335" s="285"/>
      <c r="S335" s="285"/>
      <c r="T335" s="285"/>
      <c r="U335" s="285"/>
      <c r="V335" s="285"/>
      <c r="W335" s="285"/>
      <c r="X335" s="285"/>
      <c r="Y335" s="285"/>
      <c r="Z335" s="285"/>
      <c r="AA335" s="285"/>
      <c r="AB335" s="285"/>
      <c r="AC335" s="285"/>
      <c r="AD335" s="285"/>
      <c r="AE335" s="285"/>
      <c r="AF335" s="285"/>
      <c r="AG335" s="285"/>
      <c r="AH335" s="285"/>
      <c r="AI335" s="286">
        <v>104915</v>
      </c>
      <c r="AJ335" s="293">
        <f>+AJ334</f>
        <v>118908</v>
      </c>
      <c r="AK335" s="291">
        <f t="shared" si="53"/>
        <v>3005</v>
      </c>
    </row>
    <row r="336" spans="3:38" x14ac:dyDescent="0.25">
      <c r="C336" s="290">
        <f t="shared" si="52"/>
        <v>2021.4166557000162</v>
      </c>
      <c r="D336" s="284">
        <v>44317</v>
      </c>
      <c r="E336" s="285"/>
      <c r="F336" s="285"/>
      <c r="G336" s="285"/>
      <c r="H336" s="285"/>
      <c r="I336" s="285"/>
      <c r="J336" s="285"/>
      <c r="K336" s="285"/>
      <c r="L336" s="285"/>
      <c r="M336" s="285"/>
      <c r="N336" s="285"/>
      <c r="O336" s="285"/>
      <c r="P336" s="285"/>
      <c r="Q336" s="285"/>
      <c r="R336" s="285"/>
      <c r="S336" s="285"/>
      <c r="T336" s="285"/>
      <c r="U336" s="285"/>
      <c r="V336" s="285"/>
      <c r="W336" s="285"/>
      <c r="X336" s="285"/>
      <c r="Y336" s="285"/>
      <c r="Z336" s="285"/>
      <c r="AA336" s="285"/>
      <c r="AB336" s="285"/>
      <c r="AC336" s="285"/>
      <c r="AD336" s="285"/>
      <c r="AE336" s="285"/>
      <c r="AF336" s="285"/>
      <c r="AG336" s="285"/>
      <c r="AH336" s="285"/>
      <c r="AI336" s="286">
        <v>121522</v>
      </c>
      <c r="AJ336" s="293">
        <f t="shared" ref="AJ336:AJ343" si="54">+AJ335</f>
        <v>118908</v>
      </c>
      <c r="AK336" s="291">
        <f t="shared" si="53"/>
        <v>16607</v>
      </c>
    </row>
    <row r="337" spans="3:37" x14ac:dyDescent="0.25">
      <c r="C337" s="290">
        <f t="shared" si="52"/>
        <v>2021.4999890000163</v>
      </c>
      <c r="D337" s="284">
        <v>44348</v>
      </c>
      <c r="E337" s="285"/>
      <c r="F337" s="285"/>
      <c r="G337" s="285"/>
      <c r="H337" s="285"/>
      <c r="I337" s="285"/>
      <c r="J337" s="285"/>
      <c r="K337" s="285"/>
      <c r="L337" s="285"/>
      <c r="M337" s="285"/>
      <c r="N337" s="285"/>
      <c r="O337" s="285"/>
      <c r="P337" s="285"/>
      <c r="Q337" s="285"/>
      <c r="R337" s="285"/>
      <c r="S337" s="285"/>
      <c r="T337" s="285"/>
      <c r="U337" s="285"/>
      <c r="V337" s="285"/>
      <c r="W337" s="285"/>
      <c r="X337" s="285"/>
      <c r="Y337" s="285"/>
      <c r="Z337" s="285"/>
      <c r="AA337" s="285"/>
      <c r="AB337" s="285"/>
      <c r="AC337" s="285"/>
      <c r="AD337" s="285"/>
      <c r="AE337" s="285"/>
      <c r="AF337" s="285"/>
      <c r="AG337" s="285"/>
      <c r="AH337" s="285"/>
      <c r="AI337" s="286">
        <v>121581</v>
      </c>
      <c r="AJ337" s="293">
        <f t="shared" si="54"/>
        <v>118908</v>
      </c>
      <c r="AK337" s="291">
        <f>+AI337-AI336</f>
        <v>59</v>
      </c>
    </row>
    <row r="338" spans="3:37" x14ac:dyDescent="0.25">
      <c r="C338" s="290">
        <f t="shared" si="52"/>
        <v>2021.5833223000163</v>
      </c>
      <c r="D338" s="284">
        <v>44378</v>
      </c>
      <c r="E338" s="285"/>
      <c r="F338" s="285"/>
      <c r="G338" s="285"/>
      <c r="H338" s="285"/>
      <c r="I338" s="285"/>
      <c r="J338" s="285"/>
      <c r="K338" s="285"/>
      <c r="L338" s="285"/>
      <c r="M338" s="285"/>
      <c r="N338" s="285"/>
      <c r="O338" s="285"/>
      <c r="P338" s="285"/>
      <c r="Q338" s="285"/>
      <c r="R338" s="285"/>
      <c r="S338" s="285"/>
      <c r="T338" s="285"/>
      <c r="U338" s="285"/>
      <c r="V338" s="285"/>
      <c r="W338" s="285"/>
      <c r="X338" s="285"/>
      <c r="Y338" s="285"/>
      <c r="Z338" s="285"/>
      <c r="AA338" s="285"/>
      <c r="AB338" s="285"/>
      <c r="AC338" s="285"/>
      <c r="AD338" s="285"/>
      <c r="AE338" s="285"/>
      <c r="AF338" s="285"/>
      <c r="AG338" s="285"/>
      <c r="AH338" s="285"/>
      <c r="AI338" s="286">
        <v>118549</v>
      </c>
      <c r="AJ338" s="293">
        <f t="shared" si="54"/>
        <v>118908</v>
      </c>
      <c r="AK338" s="291">
        <f>+AI338-AI337</f>
        <v>-3032</v>
      </c>
    </row>
    <row r="339" spans="3:37" x14ac:dyDescent="0.25">
      <c r="C339" s="290">
        <f t="shared" si="52"/>
        <v>2021.6666556000164</v>
      </c>
      <c r="D339" s="284">
        <v>44409</v>
      </c>
      <c r="E339" s="285"/>
      <c r="F339" s="285"/>
      <c r="G339" s="285"/>
      <c r="H339" s="285"/>
      <c r="I339" s="285"/>
      <c r="J339" s="285"/>
      <c r="K339" s="285"/>
      <c r="L339" s="285"/>
      <c r="M339" s="285"/>
      <c r="N339" s="285"/>
      <c r="O339" s="285"/>
      <c r="P339" s="285"/>
      <c r="Q339" s="285"/>
      <c r="R339" s="285"/>
      <c r="S339" s="285"/>
      <c r="T339" s="285"/>
      <c r="U339" s="285"/>
      <c r="V339" s="285"/>
      <c r="W339" s="285"/>
      <c r="X339" s="285"/>
      <c r="Y339" s="285"/>
      <c r="Z339" s="285"/>
      <c r="AA339" s="285"/>
      <c r="AB339" s="285"/>
      <c r="AC339" s="285"/>
      <c r="AD339" s="285"/>
      <c r="AE339" s="285"/>
      <c r="AF339" s="285"/>
      <c r="AG339" s="285"/>
      <c r="AH339" s="285"/>
      <c r="AI339" s="286">
        <v>121871</v>
      </c>
      <c r="AJ339" s="293">
        <f t="shared" si="54"/>
        <v>118908</v>
      </c>
      <c r="AK339" s="291">
        <f>+AI339-AI338</f>
        <v>3322</v>
      </c>
    </row>
    <row r="340" spans="3:37" x14ac:dyDescent="0.25">
      <c r="C340" s="290">
        <f t="shared" si="52"/>
        <v>2021.7499889000164</v>
      </c>
      <c r="D340" s="284">
        <v>44440</v>
      </c>
      <c r="E340" s="285"/>
      <c r="F340" s="285"/>
      <c r="G340" s="285"/>
      <c r="H340" s="285"/>
      <c r="I340" s="285"/>
      <c r="J340" s="285"/>
      <c r="K340" s="285"/>
      <c r="L340" s="285"/>
      <c r="M340" s="285"/>
      <c r="N340" s="285"/>
      <c r="O340" s="285"/>
      <c r="P340" s="285"/>
      <c r="Q340" s="285"/>
      <c r="R340" s="285"/>
      <c r="S340" s="285"/>
      <c r="T340" s="285"/>
      <c r="U340" s="285"/>
      <c r="V340" s="285"/>
      <c r="W340" s="285"/>
      <c r="X340" s="285"/>
      <c r="Y340" s="285"/>
      <c r="Z340" s="285"/>
      <c r="AA340" s="285"/>
      <c r="AB340" s="285"/>
      <c r="AC340" s="285"/>
      <c r="AD340" s="285"/>
      <c r="AE340" s="285"/>
      <c r="AF340" s="285"/>
      <c r="AG340" s="285"/>
      <c r="AH340" s="285"/>
      <c r="AI340" s="286">
        <v>128286</v>
      </c>
      <c r="AJ340" s="293">
        <f t="shared" si="54"/>
        <v>118908</v>
      </c>
      <c r="AK340" s="291">
        <f>+AI340-AI339</f>
        <v>6415</v>
      </c>
    </row>
    <row r="341" spans="3:37" x14ac:dyDescent="0.25">
      <c r="C341" s="290">
        <f t="shared" si="52"/>
        <v>2021.8333222000165</v>
      </c>
      <c r="D341" s="284">
        <v>44470</v>
      </c>
      <c r="E341" s="285"/>
      <c r="F341" s="285"/>
      <c r="G341" s="285"/>
      <c r="H341" s="285"/>
      <c r="I341" s="285"/>
      <c r="J341" s="285"/>
      <c r="K341" s="285"/>
      <c r="L341" s="285"/>
      <c r="M341" s="285"/>
      <c r="N341" s="285"/>
      <c r="O341" s="285"/>
      <c r="P341" s="285"/>
      <c r="Q341" s="285"/>
      <c r="R341" s="285"/>
      <c r="S341" s="285"/>
      <c r="T341" s="285"/>
      <c r="U341" s="285"/>
      <c r="V341" s="285"/>
      <c r="W341" s="285"/>
      <c r="X341" s="285"/>
      <c r="Y341" s="285"/>
      <c r="Z341" s="285"/>
      <c r="AA341" s="285"/>
      <c r="AB341" s="285"/>
      <c r="AC341" s="285"/>
      <c r="AD341" s="285"/>
      <c r="AE341" s="285"/>
      <c r="AF341" s="285"/>
      <c r="AG341" s="285"/>
      <c r="AH341" s="285"/>
      <c r="AI341" s="286">
        <v>129543</v>
      </c>
      <c r="AJ341" s="293">
        <f t="shared" si="54"/>
        <v>118908</v>
      </c>
      <c r="AK341" s="291">
        <f>+AI341-AI340</f>
        <v>1257</v>
      </c>
    </row>
    <row r="342" spans="3:37" x14ac:dyDescent="0.25">
      <c r="C342" s="290">
        <f t="shared" si="52"/>
        <v>2021.9166555000165</v>
      </c>
      <c r="D342" s="284">
        <v>44501</v>
      </c>
      <c r="E342" s="285"/>
      <c r="F342" s="285"/>
      <c r="G342" s="285"/>
      <c r="H342" s="285"/>
      <c r="I342" s="285"/>
      <c r="J342" s="285"/>
      <c r="K342" s="285"/>
      <c r="L342" s="285"/>
      <c r="M342" s="285"/>
      <c r="N342" s="285"/>
      <c r="O342" s="285"/>
      <c r="P342" s="285"/>
      <c r="Q342" s="285"/>
      <c r="R342" s="285"/>
      <c r="S342" s="285"/>
      <c r="T342" s="285"/>
      <c r="U342" s="285"/>
      <c r="V342" s="285"/>
      <c r="W342" s="285"/>
      <c r="X342" s="285"/>
      <c r="Y342" s="285"/>
      <c r="Z342" s="285"/>
      <c r="AA342" s="285"/>
      <c r="AB342" s="285"/>
      <c r="AC342" s="285"/>
      <c r="AD342" s="285"/>
      <c r="AE342" s="285"/>
      <c r="AF342" s="285"/>
      <c r="AG342" s="285"/>
      <c r="AH342" s="285"/>
      <c r="AI342" s="285"/>
      <c r="AJ342" s="293">
        <f t="shared" si="54"/>
        <v>118908</v>
      </c>
      <c r="AK342" s="291"/>
    </row>
    <row r="343" spans="3:37" x14ac:dyDescent="0.25">
      <c r="C343" s="290">
        <f t="shared" si="52"/>
        <v>2021.9999888000166</v>
      </c>
      <c r="D343" s="284">
        <v>44531</v>
      </c>
      <c r="E343" s="285"/>
      <c r="F343" s="285"/>
      <c r="G343" s="285"/>
      <c r="H343" s="285"/>
      <c r="I343" s="285"/>
      <c r="J343" s="285"/>
      <c r="K343" s="285"/>
      <c r="L343" s="285"/>
      <c r="M343" s="285"/>
      <c r="N343" s="285"/>
      <c r="O343" s="285"/>
      <c r="P343" s="285"/>
      <c r="Q343" s="285"/>
      <c r="R343" s="285"/>
      <c r="S343" s="285"/>
      <c r="T343" s="285"/>
      <c r="U343" s="285"/>
      <c r="V343" s="285"/>
      <c r="W343" s="285"/>
      <c r="X343" s="285"/>
      <c r="Y343" s="285"/>
      <c r="Z343" s="285"/>
      <c r="AA343" s="285"/>
      <c r="AB343" s="285"/>
      <c r="AC343" s="285"/>
      <c r="AD343" s="285"/>
      <c r="AE343" s="285"/>
      <c r="AF343" s="285"/>
      <c r="AG343" s="285"/>
      <c r="AH343" s="285"/>
      <c r="AI343" s="285"/>
      <c r="AJ343" s="293">
        <f t="shared" si="54"/>
        <v>118908</v>
      </c>
      <c r="AK343" s="291"/>
    </row>
  </sheetData>
  <mergeCells count="194"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15:K215"/>
    <mergeCell ref="J208:K208"/>
    <mergeCell ref="J209:K209"/>
    <mergeCell ref="J207:K207"/>
    <mergeCell ref="J216:K216"/>
    <mergeCell ref="J210:K210"/>
    <mergeCell ref="J214:K214"/>
    <mergeCell ref="J217:K217"/>
    <mergeCell ref="J221:K221"/>
    <mergeCell ref="J236:K236"/>
    <mergeCell ref="J234:K234"/>
    <mergeCell ref="J230:K230"/>
    <mergeCell ref="J225:K225"/>
    <mergeCell ref="J223:K223"/>
    <mergeCell ref="J204:K204"/>
    <mergeCell ref="J200:K200"/>
    <mergeCell ref="J201:K201"/>
    <mergeCell ref="J198:K198"/>
    <mergeCell ref="J203:K203"/>
    <mergeCell ref="J202:K202"/>
    <mergeCell ref="J197:K197"/>
    <mergeCell ref="J176:K176"/>
    <mergeCell ref="J174:K174"/>
    <mergeCell ref="J184:K184"/>
    <mergeCell ref="J199:K199"/>
    <mergeCell ref="J193:K193"/>
    <mergeCell ref="J182:K182"/>
    <mergeCell ref="J183:K183"/>
    <mergeCell ref="J129:K129"/>
    <mergeCell ref="J132:K132"/>
    <mergeCell ref="J137:K137"/>
    <mergeCell ref="J143:K143"/>
    <mergeCell ref="J141:K141"/>
    <mergeCell ref="J142:K142"/>
    <mergeCell ref="J146:K146"/>
    <mergeCell ref="J159:K159"/>
    <mergeCell ref="J158:K158"/>
    <mergeCell ref="J152:K152"/>
    <mergeCell ref="J155:K155"/>
    <mergeCell ref="J156:K156"/>
    <mergeCell ref="J153:K153"/>
    <mergeCell ref="J151:K151"/>
    <mergeCell ref="J154:K154"/>
    <mergeCell ref="J157:K15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5:K125"/>
    <mergeCell ref="J124:K124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18:K118"/>
    <mergeCell ref="J98:K98"/>
    <mergeCell ref="J113:K113"/>
    <mergeCell ref="J121:K121"/>
    <mergeCell ref="J109:K109"/>
    <mergeCell ref="J105:K105"/>
    <mergeCell ref="J104:K104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89:K89"/>
    <mergeCell ref="J90:K90"/>
    <mergeCell ref="J91:K91"/>
    <mergeCell ref="J92:K92"/>
    <mergeCell ref="J96:K96"/>
    <mergeCell ref="J101:K101"/>
    <mergeCell ref="J99:K99"/>
    <mergeCell ref="J163:K163"/>
    <mergeCell ref="J166:K166"/>
    <mergeCell ref="J164:K164"/>
    <mergeCell ref="J180:K180"/>
    <mergeCell ref="J162:K162"/>
    <mergeCell ref="J160:K160"/>
    <mergeCell ref="J161:K161"/>
    <mergeCell ref="J165:K165"/>
    <mergeCell ref="J175:K175"/>
    <mergeCell ref="J169:K169"/>
    <mergeCell ref="J179:K179"/>
    <mergeCell ref="J219:K219"/>
    <mergeCell ref="J231:K231"/>
    <mergeCell ref="J167:K167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185:K185"/>
    <mergeCell ref="J195:K195"/>
    <mergeCell ref="J194:K194"/>
    <mergeCell ref="J191:K191"/>
    <mergeCell ref="J168:K168"/>
    <mergeCell ref="J186:K186"/>
    <mergeCell ref="J190:K190"/>
    <mergeCell ref="J181:K181"/>
    <mergeCell ref="J196:K196"/>
    <mergeCell ref="J192:K192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</mergeCells>
  <phoneticPr fontId="0" type="noConversion"/>
  <printOptions horizontalCentered="1" verticalCentered="1"/>
  <pageMargins left="0.78740157480314965" right="0.78740157480314965" top="0.39370078740157483" bottom="0.27559055118110237" header="0.23622047244094491" footer="0.23622047244094491"/>
  <pageSetup scale="31" orientation="landscape" r:id="rId1"/>
  <headerFooter alignWithMargins="0">
    <oddFooter xml:space="preserve"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theme="9" tint="0.59999389629810485"/>
    <pageSetUpPr fitToPage="1"/>
  </sheetPr>
  <dimension ref="A4:AU497"/>
  <sheetViews>
    <sheetView workbookViewId="0">
      <pane xSplit="3" ySplit="4" topLeftCell="N326" activePane="bottomRight" state="frozen"/>
      <selection activeCell="AL328" sqref="AL328"/>
      <selection pane="topRight" activeCell="AL328" sqref="AL328"/>
      <selection pane="bottomLeft" activeCell="AL328" sqref="AL328"/>
      <selection pane="bottomRight" activeCell="N337" sqref="N337"/>
    </sheetView>
  </sheetViews>
  <sheetFormatPr baseColWidth="10" defaultRowHeight="13.2" x14ac:dyDescent="0.25"/>
  <cols>
    <col min="1" max="1" width="2.109375" customWidth="1"/>
    <col min="2" max="2" width="8.44140625" style="5" customWidth="1"/>
    <col min="4" max="4" width="11.33203125" style="31" hidden="1" customWidth="1"/>
    <col min="5" max="5" width="14.6640625" style="8" hidden="1" customWidth="1"/>
    <col min="6" max="6" width="9.109375" style="8" hidden="1" customWidth="1"/>
    <col min="7" max="7" width="11.5546875" hidden="1" customWidth="1"/>
    <col min="8" max="8" width="12.33203125" hidden="1" customWidth="1"/>
    <col min="9" max="9" width="14.88671875" hidden="1" customWidth="1"/>
    <col min="10" max="10" width="14.44140625" hidden="1" customWidth="1"/>
    <col min="11" max="12" width="15" hidden="1" customWidth="1"/>
    <col min="13" max="13" width="10.44140625" hidden="1" customWidth="1"/>
    <col min="14" max="14" width="20.109375" customWidth="1"/>
    <col min="15" max="15" width="17.5546875" customWidth="1"/>
    <col min="16" max="16" width="14.6640625" bestFit="1" customWidth="1"/>
    <col min="17" max="17" width="15.5546875" bestFit="1" customWidth="1"/>
    <col min="30" max="30" width="14.88671875" customWidth="1"/>
    <col min="31" max="31" width="4.33203125" customWidth="1"/>
    <col min="33" max="33" width="15.44140625" customWidth="1"/>
    <col min="34" max="34" width="13.33203125" customWidth="1"/>
    <col min="35" max="35" width="10.5546875" customWidth="1"/>
    <col min="36" max="36" width="11.109375" customWidth="1"/>
  </cols>
  <sheetData>
    <row r="4" spans="2:36" ht="26.4" x14ac:dyDescent="0.2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36" x14ac:dyDescent="0.2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36" x14ac:dyDescent="0.2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36" x14ac:dyDescent="0.2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36" x14ac:dyDescent="0.2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36" x14ac:dyDescent="0.2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36" x14ac:dyDescent="0.2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x14ac:dyDescent="0.2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310" t="s">
        <v>31</v>
      </c>
      <c r="AG11" s="310"/>
      <c r="AH11" s="310"/>
      <c r="AI11" s="310"/>
      <c r="AJ11" s="310"/>
    </row>
    <row r="12" spans="2:36" x14ac:dyDescent="0.2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310" t="s">
        <v>32</v>
      </c>
      <c r="AG12" s="310"/>
      <c r="AH12" s="310"/>
      <c r="AI12" s="310"/>
      <c r="AJ12" s="310"/>
    </row>
    <row r="13" spans="2:36" x14ac:dyDescent="0.2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310" t="s">
        <v>33</v>
      </c>
      <c r="AG13" s="310"/>
      <c r="AH13" s="310"/>
      <c r="AI13" s="310"/>
      <c r="AJ13" s="310"/>
    </row>
    <row r="14" spans="2:36" x14ac:dyDescent="0.2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x14ac:dyDescent="0.2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8" thickBot="1" x14ac:dyDescent="0.3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6" x14ac:dyDescent="0.3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6" x14ac:dyDescent="0.3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t="shared" ref="AJ18:AJ30" si="0">+AH18+AG18</f>
        <v>573197</v>
      </c>
    </row>
    <row r="19" spans="2:36" ht="15.6" x14ac:dyDescent="0.3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6" x14ac:dyDescent="0.3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6" x14ac:dyDescent="0.3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6" x14ac:dyDescent="0.3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6" x14ac:dyDescent="0.3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6" x14ac:dyDescent="0.3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6" x14ac:dyDescent="0.3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6" x14ac:dyDescent="0.3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6" x14ac:dyDescent="0.3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2" thickBot="1" x14ac:dyDescent="0.35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6" x14ac:dyDescent="0.3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6" x14ac:dyDescent="0.3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6" x14ac:dyDescent="0.3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6" x14ac:dyDescent="0.3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x14ac:dyDescent="0.2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x14ac:dyDescent="0.2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x14ac:dyDescent="0.2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x14ac:dyDescent="0.2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x14ac:dyDescent="0.2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x14ac:dyDescent="0.2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x14ac:dyDescent="0.2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8" thickBot="1" x14ac:dyDescent="0.3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6" x14ac:dyDescent="0.2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6" x14ac:dyDescent="0.2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6" x14ac:dyDescent="0.25">
      <c r="B43" s="80">
        <v>1997.2499987000019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6" x14ac:dyDescent="0.2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6" x14ac:dyDescent="0.2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6" x14ac:dyDescent="0.25">
      <c r="B46" s="80">
        <v>1997.4999986000021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6" x14ac:dyDescent="0.2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6" x14ac:dyDescent="0.2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7" x14ac:dyDescent="0.2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7" x14ac:dyDescent="0.2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7" x14ac:dyDescent="0.2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7" ht="13.8" thickBot="1" x14ac:dyDescent="0.3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x14ac:dyDescent="0.2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x14ac:dyDescent="0.2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3809.7333333333331</v>
      </c>
    </row>
    <row r="55" spans="2:17" x14ac:dyDescent="0.2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x14ac:dyDescent="0.2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7" x14ac:dyDescent="0.2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7" x14ac:dyDescent="0.2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7" x14ac:dyDescent="0.2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7" x14ac:dyDescent="0.2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7" x14ac:dyDescent="0.2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7" x14ac:dyDescent="0.2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7" x14ac:dyDescent="0.25">
      <c r="B63" s="80">
        <v>1998.9166647000029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7" ht="13.8" thickBot="1" x14ac:dyDescent="0.3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x14ac:dyDescent="0.2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x14ac:dyDescent="0.25">
      <c r="B66" s="80">
        <v>1999.1666646000031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7" x14ac:dyDescent="0.25">
      <c r="B67" s="80">
        <v>1999.2499979000031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7" x14ac:dyDescent="0.2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7" x14ac:dyDescent="0.2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7" x14ac:dyDescent="0.2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7" x14ac:dyDescent="0.2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7" x14ac:dyDescent="0.2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7" x14ac:dyDescent="0.2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7" x14ac:dyDescent="0.2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7" x14ac:dyDescent="0.2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8" thickBot="1" x14ac:dyDescent="0.3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x14ac:dyDescent="0.2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x14ac:dyDescent="0.2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x14ac:dyDescent="0.2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x14ac:dyDescent="0.2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x14ac:dyDescent="0.2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x14ac:dyDescent="0.2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x14ac:dyDescent="0.25">
      <c r="B83" s="80">
        <v>2000.5833307000039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x14ac:dyDescent="0.25">
      <c r="B84" s="80">
        <v>2000.6666640000039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x14ac:dyDescent="0.2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x14ac:dyDescent="0.2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x14ac:dyDescent="0.25">
      <c r="B87" s="80">
        <v>2000.9166639000041</v>
      </c>
      <c r="C87" s="52">
        <v>36831</v>
      </c>
      <c r="D87" s="60">
        <v>462.13333333333333</v>
      </c>
      <c r="E87" s="60"/>
      <c r="F87" s="60">
        <v>2888.1666666666665</v>
      </c>
      <c r="G87" s="60">
        <v>9094.2999999999993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38491.133333333331</v>
      </c>
      <c r="O87" s="7">
        <v>33289</v>
      </c>
      <c r="P87" s="1"/>
      <c r="Q87" s="1"/>
    </row>
    <row r="88" spans="2:17" x14ac:dyDescent="0.2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9038.8387096774186</v>
      </c>
      <c r="H88" s="56"/>
      <c r="I88" s="56">
        <v>8079.5483870967746</v>
      </c>
      <c r="J88" s="56"/>
      <c r="K88" s="56"/>
      <c r="L88" s="56"/>
      <c r="M88" s="56">
        <v>635.12903225806451</v>
      </c>
      <c r="N88" s="7">
        <v>19192.387096774193</v>
      </c>
      <c r="O88" s="7">
        <v>33289</v>
      </c>
      <c r="P88" s="1"/>
      <c r="Q88" s="1"/>
    </row>
    <row r="89" spans="2:17" x14ac:dyDescent="0.25">
      <c r="B89" s="80">
        <v>2001.0833305000042</v>
      </c>
      <c r="C89" s="52">
        <v>36892</v>
      </c>
      <c r="D89" s="62">
        <v>0</v>
      </c>
      <c r="E89" s="62"/>
      <c r="F89" s="62">
        <v>913.90322580645159</v>
      </c>
      <c r="G89" s="62">
        <v>7955.4516129032254</v>
      </c>
      <c r="H89" s="62"/>
      <c r="I89" s="62">
        <v>6491.322580645161</v>
      </c>
      <c r="J89" s="62"/>
      <c r="K89" s="62"/>
      <c r="L89" s="62"/>
      <c r="M89" s="62">
        <v>927.87096774193549</v>
      </c>
      <c r="N89" s="7">
        <v>16288.548387096773</v>
      </c>
      <c r="O89" s="7">
        <v>35826</v>
      </c>
      <c r="P89" s="1"/>
      <c r="Q89" s="1"/>
    </row>
    <row r="90" spans="2:17" x14ac:dyDescent="0.2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8897.5714285714294</v>
      </c>
      <c r="H90" s="62"/>
      <c r="I90" s="62">
        <v>4000.9642857142858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x14ac:dyDescent="0.2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7112.0967741935483</v>
      </c>
      <c r="J91" s="62"/>
      <c r="K91" s="62"/>
      <c r="L91" s="62"/>
      <c r="M91" s="62">
        <v>4744.322580645161</v>
      </c>
      <c r="N91" s="7">
        <v>21166.677419354841</v>
      </c>
      <c r="O91" s="7">
        <v>35826</v>
      </c>
      <c r="P91" s="1"/>
      <c r="Q91" s="1"/>
    </row>
    <row r="92" spans="2:17" x14ac:dyDescent="0.2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6727.0333333333338</v>
      </c>
      <c r="H92" s="62"/>
      <c r="I92" s="62">
        <v>8040.2666666666664</v>
      </c>
      <c r="J92" s="62"/>
      <c r="K92" s="62"/>
      <c r="L92" s="62"/>
      <c r="M92" s="62">
        <v>752.33333333333337</v>
      </c>
      <c r="N92" s="7">
        <v>17023.833333333332</v>
      </c>
      <c r="O92" s="7">
        <v>35826</v>
      </c>
      <c r="P92" s="1"/>
      <c r="Q92" s="1"/>
    </row>
    <row r="93" spans="2:17" x14ac:dyDescent="0.2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7242.8064516129034</v>
      </c>
      <c r="H93" s="62"/>
      <c r="I93" s="62">
        <v>8030.1290322580644</v>
      </c>
      <c r="J93" s="62"/>
      <c r="K93" s="62"/>
      <c r="L93" s="62"/>
      <c r="M93" s="62">
        <v>4399.5483870967746</v>
      </c>
      <c r="N93" s="7">
        <v>21226.741935483871</v>
      </c>
      <c r="O93" s="7">
        <v>35826</v>
      </c>
      <c r="P93" s="1"/>
      <c r="Q93" s="1"/>
    </row>
    <row r="94" spans="2:17" x14ac:dyDescent="0.2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x14ac:dyDescent="0.2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x14ac:dyDescent="0.2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x14ac:dyDescent="0.2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x14ac:dyDescent="0.2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x14ac:dyDescent="0.2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x14ac:dyDescent="0.2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x14ac:dyDescent="0.2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x14ac:dyDescent="0.2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x14ac:dyDescent="0.2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x14ac:dyDescent="0.25">
      <c r="B104" s="80">
        <v>2002.3333300000049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x14ac:dyDescent="0.2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x14ac:dyDescent="0.2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x14ac:dyDescent="0.25">
      <c r="B107" s="80">
        <v>2002.5833299000051</v>
      </c>
      <c r="C107" s="52">
        <v>37438</v>
      </c>
      <c r="D107" s="62">
        <v>404.3546</v>
      </c>
      <c r="E107" s="62"/>
      <c r="F107" s="62">
        <v>4434.4839000000002</v>
      </c>
      <c r="G107" s="62">
        <v>7269.6085000000003</v>
      </c>
      <c r="H107" s="62">
        <v>565.25170000000003</v>
      </c>
      <c r="I107" s="62">
        <v>9566.1612999999998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x14ac:dyDescent="0.25">
      <c r="B108" s="80">
        <v>2002.6666632000051</v>
      </c>
      <c r="C108" s="52">
        <v>37469</v>
      </c>
      <c r="D108" s="62">
        <v>1643.6451999999999</v>
      </c>
      <c r="E108" s="62"/>
      <c r="F108" s="62">
        <v>5445.9677000000001</v>
      </c>
      <c r="G108" s="62">
        <v>8471.0323000000008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73167.596399999995</v>
      </c>
      <c r="O108" s="7">
        <v>42735.94</v>
      </c>
      <c r="Q108" s="1"/>
    </row>
    <row r="109" spans="2:17" x14ac:dyDescent="0.25">
      <c r="B109" s="80">
        <v>2002.7499965000052</v>
      </c>
      <c r="C109" s="52">
        <v>37500</v>
      </c>
      <c r="D109" s="62">
        <v>835.2</v>
      </c>
      <c r="E109" s="62"/>
      <c r="F109" s="62">
        <v>4938.6000000000004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72821.823100000009</v>
      </c>
      <c r="O109" s="7">
        <v>42735.94</v>
      </c>
      <c r="Q109" s="1"/>
    </row>
    <row r="110" spans="2:17" x14ac:dyDescent="0.2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7220.6451999999999</v>
      </c>
      <c r="H110" s="62">
        <v>602.11149999999998</v>
      </c>
      <c r="I110" s="62">
        <v>9303.7741999999998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x14ac:dyDescent="0.2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x14ac:dyDescent="0.2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4196.6451999999999</v>
      </c>
      <c r="H112" s="62">
        <v>1257.8499999999999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x14ac:dyDescent="0.25">
      <c r="B113" s="80">
        <v>2003.0833297000054</v>
      </c>
      <c r="C113" s="52">
        <v>37622</v>
      </c>
      <c r="D113" s="62">
        <v>252.74189999999999</v>
      </c>
      <c r="E113" s="62"/>
      <c r="F113" s="62">
        <v>1389.4516000000001</v>
      </c>
      <c r="G113" s="62">
        <v>4547.5483999999997</v>
      </c>
      <c r="H113" s="62">
        <v>541.58600000000001</v>
      </c>
      <c r="I113" s="62">
        <v>3103.4194000000002</v>
      </c>
      <c r="J113" s="62"/>
      <c r="K113" s="62"/>
      <c r="L113" s="62"/>
      <c r="M113" s="62">
        <v>13057.741900000001</v>
      </c>
      <c r="N113" s="62">
        <v>22892.4892</v>
      </c>
      <c r="O113" s="7">
        <v>50638.411657999997</v>
      </c>
      <c r="Q113" s="1"/>
    </row>
    <row r="114" spans="2:17" x14ac:dyDescent="0.25">
      <c r="B114" s="80">
        <v>2003.1666630000054</v>
      </c>
      <c r="C114" s="53">
        <v>37653</v>
      </c>
      <c r="D114" s="69">
        <v>233.32</v>
      </c>
      <c r="E114" s="70"/>
      <c r="F114" s="70">
        <v>1092.8900000000001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50638.411657999997</v>
      </c>
    </row>
    <row r="115" spans="2:17" x14ac:dyDescent="0.25">
      <c r="B115" s="80">
        <v>2003.2499963000055</v>
      </c>
      <c r="C115" s="52">
        <v>37681</v>
      </c>
      <c r="D115" s="56">
        <v>298.48390000000001</v>
      </c>
      <c r="E115" s="56"/>
      <c r="F115" s="56">
        <v>1294.8387</v>
      </c>
      <c r="G115" s="56">
        <v>6027.1612999999998</v>
      </c>
      <c r="H115" s="56">
        <v>583.43610000000001</v>
      </c>
      <c r="I115" s="56">
        <v>5056.1289999999999</v>
      </c>
      <c r="J115" s="56"/>
      <c r="K115" s="56"/>
      <c r="L115" s="56"/>
      <c r="M115" s="56">
        <v>22899.419399999999</v>
      </c>
      <c r="N115" s="72">
        <v>36159.468399999998</v>
      </c>
      <c r="O115" s="56">
        <v>50638.411657999997</v>
      </c>
    </row>
    <row r="116" spans="2:17" x14ac:dyDescent="0.2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5976.6333000000004</v>
      </c>
      <c r="H116" s="56">
        <v>2528.5886999999998</v>
      </c>
      <c r="I116" s="56">
        <v>2442.6667000000002</v>
      </c>
      <c r="J116" s="56"/>
      <c r="K116" s="56"/>
      <c r="L116" s="56"/>
      <c r="M116" s="56">
        <v>15314.8333</v>
      </c>
      <c r="N116" s="72">
        <v>28228.355300000003</v>
      </c>
      <c r="O116" s="56">
        <v>50638.411657999997</v>
      </c>
    </row>
    <row r="117" spans="2:17" x14ac:dyDescent="0.2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34677.089999999997</v>
      </c>
      <c r="N117" s="72">
        <v>50697.63</v>
      </c>
      <c r="O117" s="56">
        <v>50638.411657999997</v>
      </c>
    </row>
    <row r="118" spans="2:17" x14ac:dyDescent="0.2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8357.2000000000007</v>
      </c>
      <c r="J118" s="7"/>
      <c r="K118" s="7"/>
      <c r="L118" s="7"/>
      <c r="M118" s="7">
        <v>40502.800000000003</v>
      </c>
      <c r="N118" s="72">
        <v>66421.34</v>
      </c>
      <c r="O118" s="56">
        <v>50638.411657999997</v>
      </c>
    </row>
    <row r="119" spans="2:17" x14ac:dyDescent="0.2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8367.7099999999991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50638.411657999997</v>
      </c>
    </row>
    <row r="120" spans="2:17" x14ac:dyDescent="0.2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8812.1299999999992</v>
      </c>
      <c r="H120" s="73">
        <v>437.87</v>
      </c>
      <c r="I120" s="73">
        <v>18219.650000000001</v>
      </c>
      <c r="J120" s="73"/>
      <c r="K120" s="73"/>
      <c r="L120" s="73"/>
      <c r="M120" s="73">
        <v>14265.52</v>
      </c>
      <c r="N120" s="72">
        <v>49318.27</v>
      </c>
      <c r="O120" s="56">
        <v>50638.411657999997</v>
      </c>
    </row>
    <row r="121" spans="2:17" x14ac:dyDescent="0.2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9039.1299999999992</v>
      </c>
      <c r="H121" s="73">
        <v>588.45000000000005</v>
      </c>
      <c r="I121" s="73">
        <v>17559.599999999999</v>
      </c>
      <c r="J121" s="73"/>
      <c r="K121" s="73"/>
      <c r="L121" s="73"/>
      <c r="M121" s="56">
        <v>24638.03</v>
      </c>
      <c r="N121" s="72">
        <v>59640.58</v>
      </c>
      <c r="O121" s="56">
        <v>50638.411657999997</v>
      </c>
    </row>
    <row r="122" spans="2:17" x14ac:dyDescent="0.25">
      <c r="B122" s="80">
        <v>2003.8333294000058</v>
      </c>
      <c r="C122" s="52">
        <v>37895</v>
      </c>
      <c r="D122" s="60">
        <v>801.48389999999995</v>
      </c>
      <c r="E122" s="60"/>
      <c r="F122" s="60">
        <v>6387.3870999999999</v>
      </c>
      <c r="G122" s="56">
        <v>8954.3870999999999</v>
      </c>
      <c r="H122" s="56">
        <v>4520.5826999999999</v>
      </c>
      <c r="I122" s="56">
        <v>16112.096799999999</v>
      </c>
      <c r="J122" s="56"/>
      <c r="K122" s="56"/>
      <c r="L122" s="56"/>
      <c r="M122" s="56">
        <v>41209.424200000001</v>
      </c>
      <c r="N122" s="72">
        <v>77985.361799999999</v>
      </c>
      <c r="O122" s="56">
        <v>50638.411657999997</v>
      </c>
    </row>
    <row r="123" spans="2:17" x14ac:dyDescent="0.25">
      <c r="B123" s="80">
        <v>2003.9166627000059</v>
      </c>
      <c r="C123" s="52">
        <v>37926</v>
      </c>
      <c r="D123" s="60">
        <v>996.9</v>
      </c>
      <c r="E123" s="60"/>
      <c r="F123" s="60">
        <v>5661.0333000000001</v>
      </c>
      <c r="G123" s="56">
        <v>8588.1332999999995</v>
      </c>
      <c r="H123" s="56">
        <v>3719.0868999999998</v>
      </c>
      <c r="I123" s="56">
        <v>16759.866699999999</v>
      </c>
      <c r="J123" s="56"/>
      <c r="K123" s="56"/>
      <c r="L123" s="56"/>
      <c r="M123" s="56">
        <v>41253.633300000001</v>
      </c>
      <c r="N123" s="72">
        <v>76978.6535</v>
      </c>
      <c r="O123" s="56">
        <v>50638.411657999997</v>
      </c>
    </row>
    <row r="124" spans="2:17" x14ac:dyDescent="0.25">
      <c r="B124" s="80">
        <v>2003.9999960000059</v>
      </c>
      <c r="C124" s="52">
        <v>37956</v>
      </c>
      <c r="D124" s="60">
        <v>992.12900000000002</v>
      </c>
      <c r="E124" s="60"/>
      <c r="F124" s="60">
        <v>1769.6129000000001</v>
      </c>
      <c r="G124" s="56">
        <v>5616.5806000000002</v>
      </c>
      <c r="H124" s="56">
        <v>1908.4239</v>
      </c>
      <c r="I124" s="56">
        <v>4543.9031999999997</v>
      </c>
      <c r="J124" s="56"/>
      <c r="K124" s="56"/>
      <c r="L124" s="56"/>
      <c r="M124" s="56">
        <v>29710.512599999998</v>
      </c>
      <c r="N124" s="72">
        <v>44541.162199999999</v>
      </c>
      <c r="O124" s="56">
        <v>50638.411657999997</v>
      </c>
    </row>
    <row r="125" spans="2:17" x14ac:dyDescent="0.25">
      <c r="B125" s="80">
        <v>2004.083329300006</v>
      </c>
      <c r="C125" s="52">
        <v>37987</v>
      </c>
      <c r="D125" s="60">
        <v>975.4194</v>
      </c>
      <c r="E125" s="60"/>
      <c r="F125" s="60">
        <v>5461.6451999999999</v>
      </c>
      <c r="G125" s="56">
        <v>7158.5160999999998</v>
      </c>
      <c r="H125" s="56">
        <v>603.51059999999995</v>
      </c>
      <c r="I125" s="56">
        <v>10700.096799999999</v>
      </c>
      <c r="J125" s="56"/>
      <c r="K125" s="56"/>
      <c r="L125" s="56"/>
      <c r="M125" s="56">
        <v>19328.999400000001</v>
      </c>
      <c r="N125" s="72">
        <v>44228.1875</v>
      </c>
      <c r="O125" s="7">
        <v>82939</v>
      </c>
    </row>
    <row r="126" spans="2:17" x14ac:dyDescent="0.25">
      <c r="B126" s="80">
        <v>2004.166662600006</v>
      </c>
      <c r="C126" s="52">
        <v>38018</v>
      </c>
      <c r="D126" s="60">
        <v>1043.4138</v>
      </c>
      <c r="E126" s="60"/>
      <c r="F126" s="60">
        <v>3674.0345000000002</v>
      </c>
      <c r="G126" s="60">
        <v>7074.3447999999999</v>
      </c>
      <c r="H126" s="60">
        <v>199.786</v>
      </c>
      <c r="I126" s="60">
        <v>7132.9655000000002</v>
      </c>
      <c r="J126" s="60"/>
      <c r="K126" s="60"/>
      <c r="L126" s="60"/>
      <c r="M126" s="60">
        <v>14963.310299999999</v>
      </c>
      <c r="N126" s="72">
        <v>34087.854899999998</v>
      </c>
      <c r="O126" s="7">
        <v>82939</v>
      </c>
    </row>
    <row r="127" spans="2:17" x14ac:dyDescent="0.25">
      <c r="B127" s="80">
        <v>2004.2499959000061</v>
      </c>
      <c r="C127" s="52">
        <v>38047</v>
      </c>
      <c r="D127" s="60">
        <v>994.32258064516134</v>
      </c>
      <c r="E127" s="60"/>
      <c r="F127" s="60">
        <v>2840.4516129032259</v>
      </c>
      <c r="G127" s="60">
        <v>5957.677419354839</v>
      </c>
      <c r="H127" s="60">
        <v>194.4539</v>
      </c>
      <c r="I127" s="60">
        <v>5089.0968000000003</v>
      </c>
      <c r="J127" s="60"/>
      <c r="K127" s="60"/>
      <c r="L127" s="60"/>
      <c r="M127" s="60">
        <v>28174.254199999999</v>
      </c>
      <c r="N127" s="61">
        <v>43250.260399999999</v>
      </c>
      <c r="O127" s="7">
        <v>82939</v>
      </c>
    </row>
    <row r="128" spans="2:17" x14ac:dyDescent="0.2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7327.7333333333336</v>
      </c>
      <c r="H128" s="60">
        <v>4798.4635933333329</v>
      </c>
      <c r="I128" s="60">
        <v>7992.6333333333332</v>
      </c>
      <c r="J128" s="60"/>
      <c r="K128" s="60"/>
      <c r="L128" s="60"/>
      <c r="M128" s="60">
        <v>37862.033333333333</v>
      </c>
      <c r="N128" s="7">
        <v>62429.630259999998</v>
      </c>
      <c r="O128" s="7">
        <v>82939</v>
      </c>
    </row>
    <row r="129" spans="2:16" x14ac:dyDescent="0.2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4157.5483870967746</v>
      </c>
      <c r="G129" s="60">
        <v>9791.9032258064508</v>
      </c>
      <c r="H129" s="60">
        <v>4748.7606451612901</v>
      </c>
      <c r="I129" s="60">
        <v>17708.580645161292</v>
      </c>
      <c r="J129" s="60"/>
      <c r="K129" s="60"/>
      <c r="L129" s="60"/>
      <c r="M129" s="60">
        <v>46036.129032258068</v>
      </c>
      <c r="N129" s="7">
        <v>84792.18</v>
      </c>
      <c r="O129" s="7">
        <v>82939</v>
      </c>
    </row>
    <row r="130" spans="2:16" x14ac:dyDescent="0.2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5961.7666666666664</v>
      </c>
      <c r="G130" s="60">
        <v>10218.933333333332</v>
      </c>
      <c r="H130" s="60">
        <v>4254.3989433333327</v>
      </c>
      <c r="I130" s="60">
        <v>16231.166666666666</v>
      </c>
      <c r="J130" s="60">
        <v>16994.927970000001</v>
      </c>
      <c r="K130" s="60"/>
      <c r="L130" s="60"/>
      <c r="M130" s="60">
        <v>41499.133333333331</v>
      </c>
      <c r="N130" s="7">
        <v>97444.760246666658</v>
      </c>
      <c r="O130" s="7">
        <v>82939</v>
      </c>
    </row>
    <row r="131" spans="2:16" x14ac:dyDescent="0.2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9796.8064516129034</v>
      </c>
      <c r="H131" s="60">
        <v>1644.9595290322582</v>
      </c>
      <c r="I131" s="60">
        <v>17946.709677419356</v>
      </c>
      <c r="J131" s="60">
        <v>8845.9112870967747</v>
      </c>
      <c r="K131" s="60"/>
      <c r="L131" s="60"/>
      <c r="M131" s="60">
        <v>44777.677419354841</v>
      </c>
      <c r="N131" s="7">
        <v>91913.064364516133</v>
      </c>
      <c r="O131" s="7">
        <v>82939</v>
      </c>
    </row>
    <row r="132" spans="2:16" x14ac:dyDescent="0.25">
      <c r="B132" s="80">
        <v>2004.6666624000063</v>
      </c>
      <c r="C132" s="52">
        <v>38200</v>
      </c>
      <c r="D132" s="60">
        <v>2850.9677419354839</v>
      </c>
      <c r="E132" s="60"/>
      <c r="F132" s="60">
        <v>6062.4516129032254</v>
      </c>
      <c r="G132" s="60">
        <v>9516.6129032258068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45766.838709677417</v>
      </c>
      <c r="N132" s="7">
        <v>92266.271787096775</v>
      </c>
      <c r="O132" s="7">
        <v>82939</v>
      </c>
    </row>
    <row r="133" spans="2:16" x14ac:dyDescent="0.25">
      <c r="B133" s="80">
        <v>2004.7499957000064</v>
      </c>
      <c r="C133" s="52">
        <v>38231</v>
      </c>
      <c r="D133" s="60">
        <v>2986.7333333333331</v>
      </c>
      <c r="E133" s="60"/>
      <c r="F133" s="60">
        <v>6162.2333333333336</v>
      </c>
      <c r="G133" s="60">
        <v>10056.233333333334</v>
      </c>
      <c r="H133" s="60">
        <v>150.46316666666669</v>
      </c>
      <c r="I133" s="60">
        <v>17030.233333333334</v>
      </c>
      <c r="J133" s="60">
        <v>40918.236383333337</v>
      </c>
      <c r="K133" s="60"/>
      <c r="L133" s="60"/>
      <c r="M133" s="60">
        <v>45198.400000000001</v>
      </c>
      <c r="N133" s="7">
        <v>122502.53288333333</v>
      </c>
      <c r="O133" s="7">
        <v>82939</v>
      </c>
    </row>
    <row r="134" spans="2:16" x14ac:dyDescent="0.2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53773.327806451613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6" x14ac:dyDescent="0.2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62531.259056666662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6" x14ac:dyDescent="0.2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7920.4516129032254</v>
      </c>
      <c r="H136" s="60">
        <v>3693.2959451612901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81313.834229032262</v>
      </c>
      <c r="O136" s="7">
        <v>82939</v>
      </c>
    </row>
    <row r="137" spans="2:16" x14ac:dyDescent="0.2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815.32258064516134</v>
      </c>
      <c r="G137" s="60">
        <v>7065.0645161290322</v>
      </c>
      <c r="H137" s="60">
        <v>533.04144838709669</v>
      </c>
      <c r="I137" s="60">
        <v>70.451612903225808</v>
      </c>
      <c r="J137" s="60">
        <v>53509.469799999999</v>
      </c>
      <c r="K137" s="60"/>
      <c r="L137" s="60"/>
      <c r="M137" s="60">
        <v>35513.967741935485</v>
      </c>
      <c r="N137" s="7">
        <v>100192.83382903226</v>
      </c>
      <c r="O137" s="7">
        <v>146156.52600000001</v>
      </c>
    </row>
    <row r="138" spans="2:16" x14ac:dyDescent="0.25">
      <c r="B138" s="80">
        <v>2005.1666622000066</v>
      </c>
      <c r="C138" s="52">
        <v>38384</v>
      </c>
      <c r="D138" s="60">
        <v>0</v>
      </c>
      <c r="E138" s="60"/>
      <c r="F138" s="60">
        <v>512.53571428571433</v>
      </c>
      <c r="G138" s="60">
        <v>7549.1785714285716</v>
      </c>
      <c r="H138" s="60">
        <v>244.90881428571427</v>
      </c>
      <c r="I138" s="60">
        <v>0</v>
      </c>
      <c r="J138" s="60">
        <v>44031.444407142859</v>
      </c>
      <c r="K138" s="60"/>
      <c r="L138" s="60"/>
      <c r="M138" s="60">
        <v>35884.607142857145</v>
      </c>
      <c r="N138" s="7">
        <v>88222.674650000001</v>
      </c>
      <c r="O138" s="7">
        <v>146156.52600000001</v>
      </c>
    </row>
    <row r="139" spans="2:16" x14ac:dyDescent="0.2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851.35483870967744</v>
      </c>
      <c r="G139" s="60">
        <v>6464.5161290322585</v>
      </c>
      <c r="H139" s="60">
        <v>260.94517419354838</v>
      </c>
      <c r="I139" s="60">
        <v>0</v>
      </c>
      <c r="J139" s="60">
        <v>49118.821858064519</v>
      </c>
      <c r="K139" s="60"/>
      <c r="L139" s="60"/>
      <c r="M139" s="60">
        <v>38338.225806451614</v>
      </c>
      <c r="N139" s="7">
        <v>96672.34767741937</v>
      </c>
      <c r="O139" s="7">
        <v>146156.52600000001</v>
      </c>
    </row>
    <row r="140" spans="2:16" x14ac:dyDescent="0.25">
      <c r="B140" s="80">
        <v>2005.3333288000067</v>
      </c>
      <c r="C140" s="52">
        <v>38443</v>
      </c>
      <c r="D140" s="74">
        <v>2416.1999999999998</v>
      </c>
      <c r="E140" s="60"/>
      <c r="F140" s="60">
        <v>1014.4</v>
      </c>
      <c r="G140" s="61">
        <v>5698.7667000000001</v>
      </c>
      <c r="H140" s="61">
        <v>1497.1072999999999</v>
      </c>
      <c r="I140" s="61">
        <v>0</v>
      </c>
      <c r="J140" s="61">
        <v>52140.207900000001</v>
      </c>
      <c r="K140" s="61"/>
      <c r="L140" s="61"/>
      <c r="M140" s="61">
        <v>39113.9</v>
      </c>
      <c r="N140" s="56">
        <v>101880.5819</v>
      </c>
      <c r="O140" s="7">
        <v>146156.52600000001</v>
      </c>
    </row>
    <row r="141" spans="2:16" x14ac:dyDescent="0.2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79470.350000000006</v>
      </c>
      <c r="K141" s="7"/>
      <c r="L141" s="7"/>
      <c r="M141" s="7">
        <v>43508.19</v>
      </c>
      <c r="N141" s="56">
        <v>151397.71</v>
      </c>
      <c r="O141" s="7">
        <v>146156.52600000001</v>
      </c>
    </row>
    <row r="142" spans="2:16" x14ac:dyDescent="0.25">
      <c r="B142" s="80">
        <v>2005.4999954000068</v>
      </c>
      <c r="C142" s="52">
        <v>38504</v>
      </c>
      <c r="D142" s="60">
        <v>3024.3667</v>
      </c>
      <c r="E142" s="20"/>
      <c r="F142" s="62">
        <v>5211.8666999999996</v>
      </c>
      <c r="G142" s="7">
        <v>11226.6667</v>
      </c>
      <c r="H142" s="67">
        <v>2693.1374000000001</v>
      </c>
      <c r="I142" s="67">
        <v>14010.2333</v>
      </c>
      <c r="J142" s="67">
        <v>94232.951199999996</v>
      </c>
      <c r="K142" s="67"/>
      <c r="L142" s="67"/>
      <c r="M142" s="67">
        <v>45058.2667</v>
      </c>
      <c r="N142" s="56">
        <v>175457.48869999999</v>
      </c>
      <c r="O142" s="7">
        <v>146156.52600000001</v>
      </c>
    </row>
    <row r="143" spans="2:16" x14ac:dyDescent="0.2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46065.709699999999</v>
      </c>
      <c r="N143" s="56">
        <v>185273.99970000001</v>
      </c>
      <c r="O143" s="7">
        <v>146156.52600000001</v>
      </c>
      <c r="P143" t="s">
        <v>47</v>
      </c>
    </row>
    <row r="144" spans="2:16" x14ac:dyDescent="0.25">
      <c r="B144" s="80">
        <v>2005.6666620000069</v>
      </c>
      <c r="C144" s="52">
        <v>38565</v>
      </c>
      <c r="D144" s="60">
        <v>3116.6451999999999</v>
      </c>
      <c r="E144" s="75"/>
      <c r="F144" s="60">
        <v>4847.4193999999998</v>
      </c>
      <c r="G144" s="75">
        <v>12450.806500000001</v>
      </c>
      <c r="H144" s="60">
        <v>405.04649999999998</v>
      </c>
      <c r="I144" s="60">
        <v>17158.967700000001</v>
      </c>
      <c r="J144" s="60">
        <v>97782.377600000007</v>
      </c>
      <c r="K144" s="60"/>
      <c r="L144" s="60"/>
      <c r="M144" s="60">
        <v>42929.806499999999</v>
      </c>
      <c r="N144" s="56">
        <v>178691.06940000001</v>
      </c>
      <c r="O144" s="7">
        <v>146156.52600000001</v>
      </c>
    </row>
    <row r="145" spans="2:17" x14ac:dyDescent="0.2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159.45249999999999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188216.25020000001</v>
      </c>
      <c r="O145" s="7">
        <v>146156.52600000001</v>
      </c>
    </row>
    <row r="146" spans="2:17" x14ac:dyDescent="0.25">
      <c r="B146" s="80">
        <v>2005.833328600007</v>
      </c>
      <c r="C146" s="52">
        <v>38626</v>
      </c>
      <c r="D146" s="60">
        <v>2999.1934999999999</v>
      </c>
      <c r="E146" s="20"/>
      <c r="F146" s="60">
        <v>4129.6129000000001</v>
      </c>
      <c r="G146" s="7">
        <v>12750.290300000001</v>
      </c>
      <c r="H146" s="60">
        <v>260.98849999999999</v>
      </c>
      <c r="I146" s="7">
        <v>14781.903200000001</v>
      </c>
      <c r="J146" s="7">
        <v>55192.742899999997</v>
      </c>
      <c r="K146" s="7"/>
      <c r="L146" s="7"/>
      <c r="M146" s="7">
        <v>43950.129000000001</v>
      </c>
      <c r="N146" s="56">
        <v>134064.8603</v>
      </c>
      <c r="O146" s="7">
        <v>146156.52600000001</v>
      </c>
    </row>
    <row r="147" spans="2:17" x14ac:dyDescent="0.25">
      <c r="B147" s="80">
        <v>2005.9166619000071</v>
      </c>
      <c r="C147" s="52">
        <v>38657</v>
      </c>
      <c r="D147" s="76">
        <v>3039.9333000000001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44811.933299999997</v>
      </c>
      <c r="N147" s="56">
        <v>184670.04740000001</v>
      </c>
      <c r="O147" s="7">
        <v>146156.52600000001</v>
      </c>
    </row>
    <row r="148" spans="2:17" x14ac:dyDescent="0.25">
      <c r="B148" s="80">
        <v>2005.9999952000071</v>
      </c>
      <c r="C148" s="52">
        <v>38687</v>
      </c>
      <c r="D148" s="76">
        <v>2979.4839000000002</v>
      </c>
      <c r="E148" s="20"/>
      <c r="F148" s="60">
        <v>2287.0645</v>
      </c>
      <c r="G148" s="7">
        <v>11221.3226</v>
      </c>
      <c r="H148" s="60">
        <v>1719.2040999999999</v>
      </c>
      <c r="I148" s="7">
        <v>10614.516100000001</v>
      </c>
      <c r="J148" s="7">
        <v>97797.632899999997</v>
      </c>
      <c r="K148" s="7"/>
      <c r="L148" s="7"/>
      <c r="M148" s="7">
        <v>39028.6774</v>
      </c>
      <c r="N148" s="56">
        <v>165647.90149999998</v>
      </c>
      <c r="O148" s="7">
        <v>146156.52600000001</v>
      </c>
    </row>
    <row r="149" spans="2:17" x14ac:dyDescent="0.2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9748.0645000000004</v>
      </c>
      <c r="H149" s="60">
        <v>935.74839999999995</v>
      </c>
      <c r="I149" s="7">
        <v>9579.81</v>
      </c>
      <c r="J149" s="7">
        <v>67124.089900000006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x14ac:dyDescent="0.25">
      <c r="B150" s="80">
        <v>2006.1666618000072</v>
      </c>
      <c r="C150" s="52">
        <v>38749</v>
      </c>
      <c r="D150" s="76">
        <v>1454.6786</v>
      </c>
      <c r="E150" s="20"/>
      <c r="F150" s="60">
        <v>224.71430000000001</v>
      </c>
      <c r="G150" s="7">
        <v>6970.5357000000004</v>
      </c>
      <c r="H150" s="60">
        <v>1065.5233000000001</v>
      </c>
      <c r="I150" s="7">
        <v>7683.6601000000001</v>
      </c>
      <c r="J150" s="7">
        <v>80713.030299999999</v>
      </c>
      <c r="K150" s="7"/>
      <c r="L150" s="7"/>
      <c r="M150" s="7">
        <v>35695.75</v>
      </c>
      <c r="N150" s="7">
        <v>133807.89230000001</v>
      </c>
      <c r="O150" s="7">
        <v>171756.4713</v>
      </c>
      <c r="P150" s="4"/>
      <c r="Q150" s="4"/>
    </row>
    <row r="151" spans="2:17" x14ac:dyDescent="0.25">
      <c r="B151" s="80">
        <v>2006.2499951000073</v>
      </c>
      <c r="C151" s="52">
        <v>38777</v>
      </c>
      <c r="D151" s="78">
        <v>2411.9032000000002</v>
      </c>
      <c r="E151" s="59"/>
      <c r="F151" s="78">
        <v>383.51609999999999</v>
      </c>
      <c r="G151" s="7">
        <v>6212.6129000000001</v>
      </c>
      <c r="H151" s="7">
        <v>1222.183</v>
      </c>
      <c r="I151" s="7">
        <v>5749.5811000000003</v>
      </c>
      <c r="J151" s="7">
        <v>45588.4902</v>
      </c>
      <c r="K151" s="7"/>
      <c r="L151" s="7"/>
      <c r="M151" s="7">
        <v>25149.1613</v>
      </c>
      <c r="N151" s="7">
        <v>86717.447799999994</v>
      </c>
      <c r="O151" s="7">
        <v>171756.4713</v>
      </c>
      <c r="P151" s="4"/>
    </row>
    <row r="152" spans="2:17" x14ac:dyDescent="0.25">
      <c r="B152" s="80">
        <v>2006.3333284000073</v>
      </c>
      <c r="C152" s="52">
        <v>38808</v>
      </c>
      <c r="D152" s="78">
        <v>3153.4666999999999</v>
      </c>
      <c r="E152" s="77"/>
      <c r="F152" s="78">
        <v>2487.5329999999999</v>
      </c>
      <c r="G152" s="7">
        <v>8624.7000000000007</v>
      </c>
      <c r="H152" s="7">
        <v>805.41830000000004</v>
      </c>
      <c r="I152" s="7">
        <v>9669.7291999999998</v>
      </c>
      <c r="J152" s="7">
        <v>46294.280899999998</v>
      </c>
      <c r="K152" s="7"/>
      <c r="L152" s="7"/>
      <c r="M152" s="7">
        <v>15092.1333</v>
      </c>
      <c r="N152" s="7">
        <v>86127.261400000003</v>
      </c>
      <c r="O152" s="7">
        <v>171756.4713</v>
      </c>
    </row>
    <row r="153" spans="2:17" x14ac:dyDescent="0.25">
      <c r="B153" s="80">
        <v>2006.4166617000074</v>
      </c>
      <c r="C153" s="52">
        <v>38838</v>
      </c>
      <c r="D153" s="78">
        <v>3054.6129000000001</v>
      </c>
      <c r="E153" s="77"/>
      <c r="F153" s="62">
        <v>3489.8386999999998</v>
      </c>
      <c r="G153" s="7">
        <v>11229.9031</v>
      </c>
      <c r="H153" s="7">
        <v>1132.1512</v>
      </c>
      <c r="I153" s="7">
        <v>17982.720700000002</v>
      </c>
      <c r="J153" s="7">
        <v>80763.2647</v>
      </c>
      <c r="K153" s="7"/>
      <c r="L153" s="7"/>
      <c r="M153" s="7">
        <v>27033.806499999999</v>
      </c>
      <c r="N153" s="7">
        <v>144686.2978</v>
      </c>
      <c r="O153" s="7">
        <v>171756.4713</v>
      </c>
    </row>
    <row r="154" spans="2:17" x14ac:dyDescent="0.25">
      <c r="B154" s="80">
        <v>2006.4999950000074</v>
      </c>
      <c r="C154" s="52">
        <v>38869</v>
      </c>
      <c r="D154" s="78">
        <v>2919.0666999999999</v>
      </c>
      <c r="E154" s="78"/>
      <c r="F154" s="78">
        <v>3639.6333</v>
      </c>
      <c r="G154" s="78">
        <v>11032.833000000001</v>
      </c>
      <c r="H154" s="7">
        <v>4903.4461000000001</v>
      </c>
      <c r="I154" s="7">
        <v>19163.324499999999</v>
      </c>
      <c r="J154" s="7">
        <v>128877.9117</v>
      </c>
      <c r="K154" s="7"/>
      <c r="L154" s="7"/>
      <c r="M154" s="7">
        <v>47230.6</v>
      </c>
      <c r="N154" s="7">
        <v>217766.81529999999</v>
      </c>
      <c r="O154" s="7">
        <v>171756.4713</v>
      </c>
    </row>
    <row r="155" spans="2:17" x14ac:dyDescent="0.25">
      <c r="B155" s="80">
        <v>2006.5833283000075</v>
      </c>
      <c r="C155" s="52">
        <v>38899</v>
      </c>
      <c r="D155" s="60">
        <v>2841.2581</v>
      </c>
      <c r="E155" s="79"/>
      <c r="F155" s="60">
        <v>3543.5805999999998</v>
      </c>
      <c r="G155" s="56">
        <v>12205.7742</v>
      </c>
      <c r="H155" s="7">
        <v>995.27880000000005</v>
      </c>
      <c r="I155" s="7">
        <v>19000</v>
      </c>
      <c r="J155" s="7">
        <v>133890.1164</v>
      </c>
      <c r="K155" s="7"/>
      <c r="L155" s="7"/>
      <c r="M155" s="7">
        <v>47967.096799999999</v>
      </c>
      <c r="N155" s="7">
        <v>220443.10490000001</v>
      </c>
      <c r="O155" s="7">
        <v>171756.4713</v>
      </c>
    </row>
    <row r="156" spans="2:17" x14ac:dyDescent="0.25">
      <c r="B156" s="80">
        <v>2006.6666616000075</v>
      </c>
      <c r="C156" s="52">
        <v>38930</v>
      </c>
      <c r="D156" s="60">
        <v>2865.9032000000002</v>
      </c>
      <c r="E156" s="79"/>
      <c r="F156" s="60">
        <v>3443.2903000000001</v>
      </c>
      <c r="G156" s="56">
        <v>11723.6129</v>
      </c>
      <c r="H156" s="7">
        <v>1013.5247000000001</v>
      </c>
      <c r="I156" s="56">
        <v>18601.802500000002</v>
      </c>
      <c r="J156" s="7">
        <v>144152.0503</v>
      </c>
      <c r="K156" s="7"/>
      <c r="L156" s="7"/>
      <c r="M156" s="7">
        <v>45424.6129</v>
      </c>
      <c r="N156" s="7">
        <v>227224.79680000001</v>
      </c>
      <c r="O156" s="7">
        <v>171756.4713</v>
      </c>
    </row>
    <row r="157" spans="2:17" x14ac:dyDescent="0.2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19017.116366666669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7" x14ac:dyDescent="0.25">
      <c r="B158" s="80">
        <v>2006.8333282000076</v>
      </c>
      <c r="C158" s="52">
        <v>38991</v>
      </c>
      <c r="D158" s="60">
        <v>3047.6129000000001</v>
      </c>
      <c r="E158" s="77"/>
      <c r="F158" s="62">
        <v>3505.3870999999999</v>
      </c>
      <c r="G158" s="7">
        <v>11826.4516</v>
      </c>
      <c r="H158" s="7">
        <v>366.79820000000001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210841.14199999999</v>
      </c>
      <c r="O158" s="7">
        <v>171756.4713</v>
      </c>
    </row>
    <row r="159" spans="2:17" x14ac:dyDescent="0.25">
      <c r="B159" s="80">
        <v>2006.9166615000076</v>
      </c>
      <c r="C159" s="52">
        <v>39022</v>
      </c>
      <c r="D159" s="60">
        <v>2986.0666999999999</v>
      </c>
      <c r="E159" s="77"/>
      <c r="F159" s="62">
        <v>2975.6</v>
      </c>
      <c r="G159" s="7">
        <v>11085.83</v>
      </c>
      <c r="H159" s="7">
        <v>414.21609999999998</v>
      </c>
      <c r="I159" s="7">
        <v>15232.697099999999</v>
      </c>
      <c r="J159" s="7">
        <v>113735.12549999999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7" x14ac:dyDescent="0.25">
      <c r="B160" s="80">
        <v>2006.9999948000077</v>
      </c>
      <c r="C160" s="52">
        <v>39052</v>
      </c>
      <c r="D160" s="60">
        <v>3018.5484000000001</v>
      </c>
      <c r="E160" s="77"/>
      <c r="F160" s="62">
        <v>2430.9032000000002</v>
      </c>
      <c r="G160" s="7">
        <v>8284.1610000000001</v>
      </c>
      <c r="H160" s="7">
        <v>1116.2996000000001</v>
      </c>
      <c r="I160" s="7">
        <v>10411.3586</v>
      </c>
      <c r="J160" s="7">
        <v>122334.8743</v>
      </c>
      <c r="K160" s="7"/>
      <c r="L160" s="7"/>
      <c r="M160" s="7">
        <v>36893.806499999999</v>
      </c>
      <c r="N160" s="7">
        <f t="shared" ref="N160:N191" si="1">SUM(D160:M160)</f>
        <v>184489.9516</v>
      </c>
      <c r="O160" s="7">
        <v>171756.4713</v>
      </c>
    </row>
    <row r="161" spans="2:15" x14ac:dyDescent="0.25">
      <c r="B161" s="80">
        <v>2007.0833281000077</v>
      </c>
      <c r="C161" s="52">
        <v>39083</v>
      </c>
      <c r="D161" s="60">
        <v>2556.0645</v>
      </c>
      <c r="E161" s="82"/>
      <c r="F161" s="60">
        <v>2823.0322999999999</v>
      </c>
      <c r="G161" s="82">
        <v>8295.5161000000007</v>
      </c>
      <c r="H161" s="82">
        <v>1036.4909</v>
      </c>
      <c r="I161" s="82">
        <v>11182.739299999999</v>
      </c>
      <c r="J161" s="82">
        <v>136565.1869</v>
      </c>
      <c r="K161" s="82"/>
      <c r="L161" s="82"/>
      <c r="M161" s="82">
        <v>21357.806499999999</v>
      </c>
      <c r="N161" s="83">
        <f t="shared" si="1"/>
        <v>183816.8365</v>
      </c>
      <c r="O161" s="60">
        <v>258864.38649999999</v>
      </c>
    </row>
    <row r="162" spans="2:15" x14ac:dyDescent="0.25">
      <c r="B162" s="80">
        <v>2007.1666614000078</v>
      </c>
      <c r="C162" s="52">
        <v>39114</v>
      </c>
      <c r="D162" s="74">
        <v>3761.6428999999998</v>
      </c>
      <c r="E162" s="82"/>
      <c r="F162" s="74">
        <v>2972.5713999999998</v>
      </c>
      <c r="G162" s="82">
        <v>8535.0357000000004</v>
      </c>
      <c r="H162" s="82">
        <v>886.05820000000006</v>
      </c>
      <c r="I162" s="82">
        <v>12902.579900000001</v>
      </c>
      <c r="J162" s="82">
        <v>137099.50570000001</v>
      </c>
      <c r="K162" s="82"/>
      <c r="L162" s="82"/>
      <c r="M162" s="82">
        <v>26480.7857</v>
      </c>
      <c r="N162" s="82">
        <f t="shared" si="1"/>
        <v>192638.17950000003</v>
      </c>
      <c r="O162" s="60">
        <f t="shared" ref="O162:O172" si="2">+O161</f>
        <v>258864.38649999999</v>
      </c>
    </row>
    <row r="163" spans="2:15" x14ac:dyDescent="0.25">
      <c r="B163" s="80">
        <v>2007.2499947000078</v>
      </c>
      <c r="C163" s="52">
        <v>39142</v>
      </c>
      <c r="D163" s="74">
        <v>3590.1289999999999</v>
      </c>
      <c r="E163" s="82"/>
      <c r="F163" s="74">
        <v>2758.6451999999999</v>
      </c>
      <c r="G163" s="84">
        <v>9131.4194000000007</v>
      </c>
      <c r="H163" s="82">
        <v>1185.3715</v>
      </c>
      <c r="I163" s="84">
        <v>11947.1198</v>
      </c>
      <c r="J163" s="82">
        <v>145014.10490000001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258864.38649999999</v>
      </c>
    </row>
    <row r="164" spans="2:15" x14ac:dyDescent="0.25">
      <c r="B164" s="80">
        <v>2007.3333280000079</v>
      </c>
      <c r="C164" s="52">
        <v>39173</v>
      </c>
      <c r="D164" s="74">
        <v>2768.5</v>
      </c>
      <c r="E164" s="82"/>
      <c r="F164" s="74">
        <v>1395.4666999999999</v>
      </c>
      <c r="G164" s="82">
        <v>7583.3666999999996</v>
      </c>
      <c r="H164" s="82">
        <v>1592.4337</v>
      </c>
      <c r="I164" s="82">
        <v>7499.0617000000002</v>
      </c>
      <c r="J164" s="82">
        <v>144063.05129999999</v>
      </c>
      <c r="K164" s="82"/>
      <c r="L164" s="82"/>
      <c r="M164" s="82">
        <v>35601.832999999999</v>
      </c>
      <c r="N164" s="82">
        <f t="shared" si="1"/>
        <v>200503.71309999999</v>
      </c>
      <c r="O164" s="60">
        <f t="shared" si="2"/>
        <v>258864.38649999999</v>
      </c>
    </row>
    <row r="165" spans="2:15" x14ac:dyDescent="0.25">
      <c r="B165" s="80">
        <v>2007.4166613000079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2294.9807935483868</v>
      </c>
      <c r="I165" s="82">
        <f>219266.728/31</f>
        <v>7073.1202580645158</v>
      </c>
      <c r="J165" s="82">
        <f>4965877.6319/31</f>
        <v>160189.60102903226</v>
      </c>
      <c r="K165" s="82"/>
      <c r="L165" s="82"/>
      <c r="M165" s="82">
        <f>1273124/31</f>
        <v>41068.516129032258</v>
      </c>
      <c r="N165" s="82">
        <f t="shared" si="1"/>
        <v>219167.41175806453</v>
      </c>
      <c r="O165" s="60">
        <f t="shared" si="2"/>
        <v>258864.38649999999</v>
      </c>
    </row>
    <row r="166" spans="2:15" x14ac:dyDescent="0.25">
      <c r="B166" s="80">
        <v>2007.499994600008</v>
      </c>
      <c r="C166" s="52">
        <v>39234</v>
      </c>
      <c r="D166" s="74">
        <f>131622/30</f>
        <v>4387.3999999999996</v>
      </c>
      <c r="E166" s="74"/>
      <c r="F166" s="74">
        <f>33402/30</f>
        <v>1113.4000000000001</v>
      </c>
      <c r="G166" s="74">
        <f>324439/30</f>
        <v>10814.633333333333</v>
      </c>
      <c r="H166" s="74">
        <f>127634.9212/30</f>
        <v>4254.4973733333336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46893.533333333333</v>
      </c>
      <c r="N166" s="82">
        <f t="shared" si="1"/>
        <v>277739.0674</v>
      </c>
      <c r="O166" s="60">
        <f t="shared" si="2"/>
        <v>258864.38649999999</v>
      </c>
    </row>
    <row r="167" spans="2:15" x14ac:dyDescent="0.25">
      <c r="B167" s="80">
        <v>2007.583327900008</v>
      </c>
      <c r="C167" s="52">
        <v>39264</v>
      </c>
      <c r="D167" s="74">
        <f>148652/31</f>
        <v>4795.2258064516127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295526.92400645162</v>
      </c>
      <c r="O167" s="60">
        <f t="shared" si="2"/>
        <v>258864.38649999999</v>
      </c>
    </row>
    <row r="168" spans="2:15" x14ac:dyDescent="0.25">
      <c r="B168" s="80">
        <v>2007.6666612000081</v>
      </c>
      <c r="C168" s="52">
        <v>39295</v>
      </c>
      <c r="D168" s="74">
        <f>147061/31</f>
        <v>4743.9032258064517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226178.63879999999</v>
      </c>
      <c r="K168" s="74"/>
      <c r="L168" s="74"/>
      <c r="M168" s="74">
        <f>1382189/31</f>
        <v>44586.741935483871</v>
      </c>
      <c r="N168" s="82">
        <f t="shared" si="1"/>
        <v>308342.7639612903</v>
      </c>
      <c r="O168" s="60">
        <f t="shared" si="2"/>
        <v>258864.38649999999</v>
      </c>
    </row>
    <row r="169" spans="2:15" x14ac:dyDescent="0.25">
      <c r="B169" s="80">
        <v>2007.7499945000081</v>
      </c>
      <c r="C169" s="52">
        <v>39326</v>
      </c>
      <c r="D169" s="74">
        <f>141949/30</f>
        <v>4731.6333333333332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129.64866000000001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41696.033333333333</v>
      </c>
      <c r="N169" s="82">
        <f t="shared" si="1"/>
        <v>300888.47591000004</v>
      </c>
      <c r="O169" s="60">
        <f t="shared" si="2"/>
        <v>258864.38649999999</v>
      </c>
    </row>
    <row r="170" spans="2:15" x14ac:dyDescent="0.25">
      <c r="B170" s="80">
        <v>2007.8333278000082</v>
      </c>
      <c r="C170" s="52">
        <v>39356</v>
      </c>
      <c r="D170" s="74">
        <f>142730/31</f>
        <v>4604.1935483870966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44648.483870967742</v>
      </c>
      <c r="N170" s="82">
        <f t="shared" si="1"/>
        <v>305664.73707096773</v>
      </c>
      <c r="O170" s="60">
        <f t="shared" si="2"/>
        <v>258864.38649999999</v>
      </c>
    </row>
    <row r="171" spans="2:15" x14ac:dyDescent="0.25">
      <c r="B171" s="80">
        <v>2007.9166611000101</v>
      </c>
      <c r="C171" s="52">
        <v>39387</v>
      </c>
      <c r="D171" s="74">
        <f>138814/30</f>
        <v>4627.1333333333332</v>
      </c>
      <c r="E171" s="74"/>
      <c r="F171" s="74">
        <f>69191/30</f>
        <v>2306.3666666666668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258864.38649999999</v>
      </c>
    </row>
    <row r="172" spans="2:15" x14ac:dyDescent="0.25">
      <c r="B172" s="80">
        <v>2007.9999944000101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223075.60426129031</v>
      </c>
      <c r="K172" s="74"/>
      <c r="L172" s="74"/>
      <c r="M172" s="74">
        <f>1102132/31</f>
        <v>35552.645161290326</v>
      </c>
      <c r="N172" s="82">
        <f t="shared" si="1"/>
        <v>294884.54419354838</v>
      </c>
      <c r="O172" s="60">
        <f t="shared" si="2"/>
        <v>258864.38649999999</v>
      </c>
    </row>
    <row r="173" spans="2:15" x14ac:dyDescent="0.25">
      <c r="B173" s="80">
        <v>2008.0833277000099</v>
      </c>
      <c r="C173" s="52">
        <v>39448</v>
      </c>
      <c r="D173" s="74">
        <f>152320/31</f>
        <v>4913.5483870967746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259.77854838709681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33406.193548387098</v>
      </c>
      <c r="N173" s="82">
        <f t="shared" si="1"/>
        <v>228311.21572580643</v>
      </c>
      <c r="O173" s="60">
        <v>327747.97029999999</v>
      </c>
    </row>
    <row r="174" spans="2:15" x14ac:dyDescent="0.25">
      <c r="B174" s="80">
        <v>2008.16666100001</v>
      </c>
      <c r="C174" s="52">
        <v>39479</v>
      </c>
      <c r="D174" s="74">
        <f>133366/29</f>
        <v>4598.8275862068967</v>
      </c>
      <c r="E174" s="74"/>
      <c r="F174" s="74">
        <f>42077/29</f>
        <v>1450.9310344827586</v>
      </c>
      <c r="G174" s="74">
        <f>250311/29</f>
        <v>8631.4137931034475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31821.448275862069</v>
      </c>
      <c r="N174" s="82">
        <f t="shared" si="1"/>
        <v>270696.65583793103</v>
      </c>
      <c r="O174" s="7">
        <f t="shared" ref="O174:O184" si="3">+O173</f>
        <v>327747.97029999999</v>
      </c>
    </row>
    <row r="175" spans="2:15" x14ac:dyDescent="0.25">
      <c r="B175" s="80">
        <v>2008.24999430001</v>
      </c>
      <c r="C175" s="52">
        <v>39508</v>
      </c>
      <c r="D175" s="74">
        <f>156177/31</f>
        <v>5037.9677419354839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285538.30265806452</v>
      </c>
      <c r="O175" s="7">
        <f t="shared" si="3"/>
        <v>327747.97029999999</v>
      </c>
    </row>
    <row r="176" spans="2:15" x14ac:dyDescent="0.25">
      <c r="B176" s="80">
        <v>2008.3333276000101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8343.0333333333328</v>
      </c>
      <c r="H176" s="74">
        <f>17083.2557/30</f>
        <v>569.44185666666669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36033.300000000003</v>
      </c>
      <c r="N176" s="60">
        <f t="shared" si="1"/>
        <v>279469.98300333333</v>
      </c>
      <c r="O176" s="7">
        <f t="shared" si="3"/>
        <v>327747.97029999999</v>
      </c>
    </row>
    <row r="177" spans="2:32" x14ac:dyDescent="0.25">
      <c r="B177" s="80">
        <v>2008.4166609000099</v>
      </c>
      <c r="C177" s="52">
        <v>39569</v>
      </c>
      <c r="D177" s="74">
        <f>153597/31</f>
        <v>4954.7419354838712</v>
      </c>
      <c r="E177" s="20"/>
      <c r="F177" s="74">
        <f>56272/31</f>
        <v>1815.2258064516129</v>
      </c>
      <c r="G177" s="74">
        <f>369824/31</f>
        <v>11929.806451612903</v>
      </c>
      <c r="H177" s="74">
        <f>22280.5572/31</f>
        <v>718.72765161290317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338840.81359999999</v>
      </c>
      <c r="O177" s="7">
        <f t="shared" si="3"/>
        <v>327747.97029999999</v>
      </c>
    </row>
    <row r="178" spans="2:32" x14ac:dyDescent="0.2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2453.6999999999998</v>
      </c>
      <c r="G178" s="74">
        <f>355001/30</f>
        <v>11833.366666666667</v>
      </c>
      <c r="H178" s="74">
        <f>136817.603/30</f>
        <v>4560.5867666666663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327747.97029999999</v>
      </c>
    </row>
    <row r="179" spans="2:32" x14ac:dyDescent="0.25">
      <c r="B179" s="80">
        <v>2008.58332750001</v>
      </c>
      <c r="C179" s="52">
        <v>39630</v>
      </c>
      <c r="D179" s="74">
        <f>155423/31</f>
        <v>5013.6451612903229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477.10573225806451</v>
      </c>
      <c r="I179" s="74">
        <f>511811/31</f>
        <v>16510.032258064515</v>
      </c>
      <c r="J179" s="74">
        <f>8900134.306/31</f>
        <v>287101.10664516129</v>
      </c>
      <c r="K179" s="74"/>
      <c r="L179" s="74"/>
      <c r="M179" s="74">
        <f>1475035/31</f>
        <v>47581.774193548386</v>
      </c>
      <c r="N179" s="60">
        <f t="shared" si="1"/>
        <v>372349.50269999995</v>
      </c>
      <c r="O179" s="7">
        <f t="shared" si="3"/>
        <v>327747.97029999999</v>
      </c>
    </row>
    <row r="180" spans="2:32" x14ac:dyDescent="0.25">
      <c r="B180" s="80">
        <v>2008.66666080001</v>
      </c>
      <c r="C180" s="52">
        <v>39661</v>
      </c>
      <c r="D180" s="74">
        <f>153206/31</f>
        <v>4942.1290322580644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16703.270145161288</v>
      </c>
      <c r="J180" s="74">
        <f>8814468.7275/31</f>
        <v>284337.70088709675</v>
      </c>
      <c r="K180" s="74"/>
      <c r="L180" s="74"/>
      <c r="M180" s="74">
        <f>1470690/31</f>
        <v>47441.612903225803</v>
      </c>
      <c r="N180" s="60">
        <f t="shared" si="1"/>
        <v>369530.26864193549</v>
      </c>
      <c r="O180" s="7">
        <f t="shared" si="3"/>
        <v>327747.97029999999</v>
      </c>
      <c r="P180" s="74"/>
      <c r="Q180" s="74"/>
    </row>
    <row r="181" spans="2:32" x14ac:dyDescent="0.25">
      <c r="B181" s="80">
        <v>2008.7499941000101</v>
      </c>
      <c r="C181" s="52">
        <v>39692</v>
      </c>
      <c r="D181" s="74">
        <f>147784/30</f>
        <v>4926.1333333333332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265.44083999999998</v>
      </c>
      <c r="I181" s="74">
        <f>583693.0914/30</f>
        <v>19456.436380000003</v>
      </c>
      <c r="J181" s="74">
        <f>8612759.2842/30</f>
        <v>287091.97613999998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327747.97029999999</v>
      </c>
      <c r="P181" s="74"/>
      <c r="Q181" s="74"/>
    </row>
    <row r="182" spans="2:32" x14ac:dyDescent="0.25">
      <c r="B182" s="80">
        <v>2008.8333274000099</v>
      </c>
      <c r="C182" s="52">
        <v>39722</v>
      </c>
      <c r="D182" s="60">
        <f>139858/31</f>
        <v>4511.5483870967746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279717.84745483869</v>
      </c>
      <c r="K182" s="60"/>
      <c r="L182" s="60"/>
      <c r="M182" s="60">
        <f>1325263/31</f>
        <v>42750.419354838712</v>
      </c>
      <c r="N182" s="60">
        <f t="shared" si="1"/>
        <v>353736.37775161292</v>
      </c>
      <c r="O182" s="7">
        <f t="shared" si="3"/>
        <v>327747.97029999999</v>
      </c>
      <c r="P182" s="74"/>
      <c r="Q182" s="74"/>
    </row>
    <row r="183" spans="2:32" x14ac:dyDescent="0.25">
      <c r="B183" s="80">
        <v>2008.91666070001</v>
      </c>
      <c r="C183" s="52">
        <v>39753</v>
      </c>
      <c r="D183" s="60">
        <f>151084/30</f>
        <v>5036.1333333333332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327747.97029999999</v>
      </c>
      <c r="P183" s="74"/>
      <c r="Q183" s="74"/>
    </row>
    <row r="184" spans="2:32" x14ac:dyDescent="0.25">
      <c r="B184" s="80">
        <v>2008.99999400001</v>
      </c>
      <c r="C184" s="52">
        <v>39783</v>
      </c>
      <c r="D184" s="60">
        <f>151465/31</f>
        <v>4885.9677419354839</v>
      </c>
      <c r="E184" s="60"/>
      <c r="F184" s="60">
        <f>43170/31</f>
        <v>1392.5806451612902</v>
      </c>
      <c r="G184" s="60">
        <f>263982/31</f>
        <v>8515.5483870967746</v>
      </c>
      <c r="H184" s="60">
        <f>48002.8333/31</f>
        <v>1548.478493548387</v>
      </c>
      <c r="I184" s="60">
        <f>383752/31</f>
        <v>12379.096774193549</v>
      </c>
      <c r="J184" s="60">
        <f>8362166.5038/31</f>
        <v>269747.30657419353</v>
      </c>
      <c r="K184" s="60"/>
      <c r="L184" s="60"/>
      <c r="M184" s="60">
        <f>1193244/31</f>
        <v>38491.741935483871</v>
      </c>
      <c r="N184" s="60">
        <f t="shared" si="1"/>
        <v>336960.7205516129</v>
      </c>
      <c r="O184" s="7">
        <f t="shared" si="3"/>
        <v>327747.97029999999</v>
      </c>
      <c r="P184" s="74"/>
      <c r="Q184" s="74"/>
    </row>
    <row r="185" spans="2:32" x14ac:dyDescent="0.25">
      <c r="B185" s="80">
        <v>2009.0833273000101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713.32850645161295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31595.580645161292</v>
      </c>
      <c r="N185" s="60">
        <f t="shared" si="1"/>
        <v>297240.60174838704</v>
      </c>
      <c r="O185" s="56">
        <v>336112.25160000002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x14ac:dyDescent="0.25">
      <c r="B186" s="80">
        <v>2009.1666606000099</v>
      </c>
      <c r="C186" s="52">
        <v>39845</v>
      </c>
      <c r="D186" s="60">
        <f>125942/28</f>
        <v>4497.9285714285716</v>
      </c>
      <c r="E186" s="75"/>
      <c r="F186" s="60">
        <v>0</v>
      </c>
      <c r="G186" s="56">
        <f>203882/28</f>
        <v>7281.5</v>
      </c>
      <c r="H186" s="56">
        <f>18614.6998/28</f>
        <v>664.81070714285704</v>
      </c>
      <c r="I186" s="56">
        <f>154326/28</f>
        <v>5511.6428571428569</v>
      </c>
      <c r="J186" s="56">
        <f>6395417.1867/28</f>
        <v>228407.75666785715</v>
      </c>
      <c r="K186" s="56"/>
      <c r="L186" s="56"/>
      <c r="M186" s="56">
        <f>914673/28</f>
        <v>32666.892857142859</v>
      </c>
      <c r="N186" s="60">
        <f t="shared" si="1"/>
        <v>279030.5316607143</v>
      </c>
      <c r="O186" s="56">
        <f t="shared" ref="O186:O196" si="4">+O185</f>
        <v>336112.25160000002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x14ac:dyDescent="0.25">
      <c r="B187" s="80">
        <v>2009.2499939000099</v>
      </c>
      <c r="C187" s="52">
        <v>39873</v>
      </c>
      <c r="D187" s="60">
        <f>137611/31</f>
        <v>4439.0645161290322</v>
      </c>
      <c r="E187" s="75"/>
      <c r="F187" s="60">
        <v>0</v>
      </c>
      <c r="G187" s="56">
        <f>227891/31</f>
        <v>7351.322580645161</v>
      </c>
      <c r="H187" s="56">
        <f>13174.2138/31</f>
        <v>424.97463870967738</v>
      </c>
      <c r="I187" s="56">
        <f>159565/31</f>
        <v>5147.2580645161288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336112.25160000002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x14ac:dyDescent="0.25">
      <c r="B188" s="80">
        <v>2009.33332720001</v>
      </c>
      <c r="C188" s="52">
        <v>39904</v>
      </c>
      <c r="D188" s="60">
        <f>143312/30</f>
        <v>4777.0666666666666</v>
      </c>
      <c r="E188" s="85"/>
      <c r="F188" s="85">
        <f>24233/30</f>
        <v>807.76666666666665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336112.25160000002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x14ac:dyDescent="0.2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9052.5806451612898</v>
      </c>
      <c r="J189" s="86">
        <f>8419732/31</f>
        <v>271604.25806451612</v>
      </c>
      <c r="K189" s="86"/>
      <c r="L189" s="86"/>
      <c r="M189" s="86">
        <f>969374/31</f>
        <v>31270.129032258064</v>
      </c>
      <c r="N189" s="56">
        <f t="shared" si="1"/>
        <v>328120.90926451609</v>
      </c>
      <c r="O189" s="56">
        <f t="shared" si="4"/>
        <v>336112.25160000002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x14ac:dyDescent="0.25">
      <c r="B190" s="80">
        <v>2009.4999938000101</v>
      </c>
      <c r="C190" s="52">
        <v>39965</v>
      </c>
      <c r="D190" s="60">
        <f>145597/30</f>
        <v>4853.2333333333336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287685.22589333332</v>
      </c>
      <c r="K190" s="86"/>
      <c r="L190" s="86"/>
      <c r="M190" s="86">
        <f>1306909/30</f>
        <v>43563.633333333331</v>
      </c>
      <c r="N190" s="56">
        <f t="shared" si="1"/>
        <v>362334.3258933333</v>
      </c>
      <c r="O190" s="56">
        <f t="shared" si="4"/>
        <v>336112.25160000002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x14ac:dyDescent="0.25">
      <c r="B191" s="80">
        <v>2009.5833271000099</v>
      </c>
      <c r="C191" s="52">
        <v>39995</v>
      </c>
      <c r="D191" s="60">
        <f>154577/31</f>
        <v>4986.3548387096771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760.80249677419363</v>
      </c>
      <c r="I191" s="86">
        <f>427042/31</f>
        <v>13775.548387096775</v>
      </c>
      <c r="J191" s="86">
        <f>9015157.4144/31</f>
        <v>290811.52949677419</v>
      </c>
      <c r="K191" s="86"/>
      <c r="L191" s="86"/>
      <c r="M191" s="86">
        <f>1354188/31</f>
        <v>43683.483870967742</v>
      </c>
      <c r="N191" s="56">
        <f t="shared" si="1"/>
        <v>367233.29973548389</v>
      </c>
      <c r="O191" s="56">
        <f t="shared" si="4"/>
        <v>336112.25160000002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32" x14ac:dyDescent="0.25">
      <c r="B192" s="80">
        <v>2009.66666040001</v>
      </c>
      <c r="C192" s="52">
        <v>40026</v>
      </c>
      <c r="D192" s="88">
        <f>147202/31</f>
        <v>4748.4516129032254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t="shared" ref="N192:N223" si="5">SUM(D192:M192)</f>
        <v>376607.92519677419</v>
      </c>
      <c r="O192" s="90">
        <f t="shared" si="4"/>
        <v>336112.25160000002</v>
      </c>
    </row>
    <row r="193" spans="2:19" x14ac:dyDescent="0.25">
      <c r="B193" s="80">
        <v>2009.74999370001</v>
      </c>
      <c r="C193" s="52">
        <v>40057</v>
      </c>
      <c r="D193" s="91">
        <f>133673/30</f>
        <v>4455.7666666666664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294256.96535999997</v>
      </c>
      <c r="K193" s="92"/>
      <c r="L193" s="92"/>
      <c r="M193" s="92">
        <f>1391643/30</f>
        <v>46388.1</v>
      </c>
      <c r="N193" s="92">
        <f t="shared" si="5"/>
        <v>375797.37509666663</v>
      </c>
      <c r="O193" s="90">
        <f t="shared" si="4"/>
        <v>336112.25160000002</v>
      </c>
    </row>
    <row r="194" spans="2:19" x14ac:dyDescent="0.25">
      <c r="B194" s="80">
        <v>2009.8333270000101</v>
      </c>
      <c r="C194" s="52">
        <v>40087</v>
      </c>
      <c r="D194" s="93">
        <f>139424/31</f>
        <v>4497.5483870967746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43047.419354838712</v>
      </c>
      <c r="N194" s="90">
        <f t="shared" si="5"/>
        <v>365711.78973870975</v>
      </c>
      <c r="O194" s="90">
        <f t="shared" si="4"/>
        <v>336112.25160000002</v>
      </c>
    </row>
    <row r="195" spans="2:19" x14ac:dyDescent="0.25">
      <c r="B195" s="80">
        <v>2009.9166603000101</v>
      </c>
      <c r="C195" s="52">
        <v>40118</v>
      </c>
      <c r="D195" s="93">
        <f>139906/30</f>
        <v>4663.5333333333338</v>
      </c>
      <c r="E195" s="93"/>
      <c r="F195" s="93">
        <f>69366/30</f>
        <v>2312.1999999999998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336112.25160000002</v>
      </c>
    </row>
    <row r="196" spans="2:19" x14ac:dyDescent="0.25">
      <c r="B196" s="80">
        <v>2009.9999936000099</v>
      </c>
      <c r="C196" s="52">
        <v>40148</v>
      </c>
      <c r="D196" s="93">
        <f>144350/31</f>
        <v>4656.4516129032254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154.45418709677421</v>
      </c>
      <c r="I196" s="87">
        <f>305286/31</f>
        <v>9847.9354838709678</v>
      </c>
      <c r="J196" s="87">
        <f>8615537/31</f>
        <v>277920.54838709679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336112.25160000002</v>
      </c>
      <c r="Q196" s="29"/>
      <c r="R196" s="29"/>
      <c r="S196" s="29"/>
    </row>
    <row r="197" spans="2:19" x14ac:dyDescent="0.25">
      <c r="B197" s="80">
        <v>2010.08332690001</v>
      </c>
      <c r="C197" s="52">
        <v>40179</v>
      </c>
      <c r="D197" s="93">
        <f>145086/31</f>
        <v>4680.1935483870966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316.47365161290321</v>
      </c>
      <c r="I197" s="87">
        <f>356420/31</f>
        <v>11497.41935483871</v>
      </c>
      <c r="J197" s="87">
        <f>9165612.5048/31</f>
        <v>295664.91950967739</v>
      </c>
      <c r="K197" s="87">
        <f>3566.824/31</f>
        <v>115.05883870967742</v>
      </c>
      <c r="L197" s="87"/>
      <c r="M197" s="87">
        <f>961628/31</f>
        <v>31020.258064516129</v>
      </c>
      <c r="N197" s="90">
        <f t="shared" si="5"/>
        <v>358627.64554838702</v>
      </c>
      <c r="O197" s="90">
        <v>700299</v>
      </c>
      <c r="Q197" s="109"/>
      <c r="R197" s="109"/>
      <c r="S197" s="29"/>
    </row>
    <row r="198" spans="2:19" x14ac:dyDescent="0.2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11901.928571428571</v>
      </c>
      <c r="H198" s="100">
        <v>338.78571428571428</v>
      </c>
      <c r="I198" s="100">
        <f>260081/28</f>
        <v>9288.6071428571431</v>
      </c>
      <c r="J198" s="87">
        <f>8895701.395/28</f>
        <v>317703.62124999997</v>
      </c>
      <c r="K198" s="87">
        <f>181908.6734/28</f>
        <v>6496.7383357142853</v>
      </c>
      <c r="L198" s="87"/>
      <c r="M198" s="95">
        <f>828672/28</f>
        <v>29595.428571428572</v>
      </c>
      <c r="N198" s="90">
        <f t="shared" si="5"/>
        <v>382374.71672857139</v>
      </c>
      <c r="O198" s="19">
        <f>+O197</f>
        <v>700299</v>
      </c>
      <c r="Q198" s="109"/>
      <c r="R198" s="109"/>
      <c r="S198" s="29"/>
    </row>
    <row r="199" spans="2:19" x14ac:dyDescent="0.25">
      <c r="B199" s="80">
        <v>2010.2499935000101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386.22580645161293</v>
      </c>
      <c r="I199" s="100">
        <f>322893/31</f>
        <v>10415.903225806451</v>
      </c>
      <c r="J199" s="87">
        <f>9564549.2486/31</f>
        <v>308533.84672903229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382220.46809032263</v>
      </c>
      <c r="O199" s="19">
        <f>+O198</f>
        <v>700299</v>
      </c>
      <c r="Q199" s="109"/>
      <c r="R199" s="109"/>
      <c r="S199" s="29"/>
    </row>
    <row r="200" spans="2:19" x14ac:dyDescent="0.25">
      <c r="B200" s="80">
        <v>2010.3333268000099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282.53468333333331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16857.900000000001</v>
      </c>
      <c r="N200" s="90">
        <f t="shared" si="5"/>
        <v>358234.69937333337</v>
      </c>
      <c r="O200" s="19">
        <f t="shared" ref="O200:O208" si="6">+O199</f>
        <v>700299</v>
      </c>
      <c r="Q200" s="109"/>
      <c r="R200" s="109"/>
      <c r="S200" s="29"/>
    </row>
    <row r="201" spans="2:19" x14ac:dyDescent="0.25">
      <c r="B201" s="80">
        <v>2010.4166601000099</v>
      </c>
      <c r="C201" s="52">
        <v>40299</v>
      </c>
      <c r="D201" s="98">
        <f>139497/31</f>
        <v>4499.9032258064517</v>
      </c>
      <c r="E201" s="105"/>
      <c r="F201" s="105">
        <f>64807/31</f>
        <v>2090.5483870967741</v>
      </c>
      <c r="G201" s="106">
        <f>286777/31</f>
        <v>9250.8709677419356</v>
      </c>
      <c r="H201" s="106">
        <f>24188.77/31</f>
        <v>780.28290322580642</v>
      </c>
      <c r="I201" s="106">
        <f>239245/31</f>
        <v>7717.5806451612907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438202.67465483869</v>
      </c>
      <c r="O201" s="19">
        <f t="shared" si="6"/>
        <v>700299</v>
      </c>
      <c r="Q201" s="109"/>
      <c r="R201" s="109"/>
      <c r="S201" s="29"/>
    </row>
    <row r="202" spans="2:19" x14ac:dyDescent="0.2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4019.1333333333332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38256.366666666669</v>
      </c>
      <c r="N202" s="90">
        <f t="shared" si="5"/>
        <v>700877.01615000004</v>
      </c>
      <c r="O202" s="104">
        <f t="shared" si="6"/>
        <v>700299</v>
      </c>
      <c r="P202" s="96"/>
      <c r="Q202" s="109"/>
      <c r="R202" s="109"/>
      <c r="S202" s="29"/>
    </row>
    <row r="203" spans="2:19" x14ac:dyDescent="0.25">
      <c r="B203" s="80">
        <v>2010.58332670001</v>
      </c>
      <c r="C203" s="52">
        <v>40360</v>
      </c>
      <c r="D203" s="102">
        <f>141533/31</f>
        <v>4565.5806451612907</v>
      </c>
      <c r="E203" s="102">
        <f>1001.3992/31</f>
        <v>32.303199999999997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327306.41377741931</v>
      </c>
      <c r="L203" s="87"/>
      <c r="M203" s="104">
        <f>936879/31</f>
        <v>30221.903225806451</v>
      </c>
      <c r="N203" s="90">
        <f t="shared" si="5"/>
        <v>795997.58982580632</v>
      </c>
      <c r="O203" s="104">
        <f t="shared" si="6"/>
        <v>700299</v>
      </c>
      <c r="P203" s="96"/>
      <c r="Q203" s="109"/>
      <c r="R203" s="109"/>
      <c r="S203" s="29"/>
    </row>
    <row r="204" spans="2:19" x14ac:dyDescent="0.25">
      <c r="B204" s="80">
        <v>2010.6666600000101</v>
      </c>
      <c r="C204" s="52">
        <v>40391</v>
      </c>
      <c r="D204" s="107">
        <f>148652/31</f>
        <v>4795.2258064516127</v>
      </c>
      <c r="E204" s="107">
        <f>1198.2896/31</f>
        <v>38.654503225806451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37445.419354838712</v>
      </c>
      <c r="N204" s="90">
        <f t="shared" si="5"/>
        <v>991488.62159999995</v>
      </c>
      <c r="O204" s="104">
        <f t="shared" si="6"/>
        <v>700299</v>
      </c>
      <c r="P204" s="96"/>
      <c r="Q204" s="109"/>
      <c r="R204" s="109"/>
      <c r="S204" s="29"/>
    </row>
    <row r="205" spans="2:19" x14ac:dyDescent="0.25">
      <c r="B205" s="80">
        <v>2010.7499933000099</v>
      </c>
      <c r="C205" s="52">
        <v>40422</v>
      </c>
      <c r="D205" s="107">
        <f>150521/30</f>
        <v>5017.3666666666668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124.03601999999999</v>
      </c>
      <c r="I205" s="104">
        <f>379742/30</f>
        <v>12658.066666666668</v>
      </c>
      <c r="J205" s="87">
        <f>13500718.0908/30</f>
        <v>450023.93635999999</v>
      </c>
      <c r="K205" s="87">
        <f>11800773.5559/30</f>
        <v>393359.11852999998</v>
      </c>
      <c r="L205" s="87"/>
      <c r="M205" s="104">
        <f>730183/30</f>
        <v>24339.433333333334</v>
      </c>
      <c r="N205" s="90">
        <f t="shared" si="5"/>
        <v>900604.15757666668</v>
      </c>
      <c r="O205" s="104">
        <f t="shared" si="6"/>
        <v>700299</v>
      </c>
      <c r="P205" s="96"/>
      <c r="Q205" s="109"/>
      <c r="R205" s="109"/>
      <c r="S205" s="29"/>
    </row>
    <row r="206" spans="2:19" x14ac:dyDescent="0.2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566.75971290322582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402786.34409999999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984318.21090322582</v>
      </c>
      <c r="O206" s="104">
        <f t="shared" si="6"/>
        <v>700299</v>
      </c>
      <c r="P206" s="96">
        <f>+N206*31</f>
        <v>30513864.537999999</v>
      </c>
      <c r="Q206" s="109"/>
      <c r="R206" s="109"/>
      <c r="S206" s="29"/>
    </row>
    <row r="207" spans="2:19" x14ac:dyDescent="0.25">
      <c r="B207" s="80">
        <v>2010.91665990001</v>
      </c>
      <c r="C207" s="52">
        <v>40483</v>
      </c>
      <c r="D207" s="107">
        <f>143999/30</f>
        <v>4799.9666666666662</v>
      </c>
      <c r="E207" s="107">
        <f>17523.6103/30</f>
        <v>584.12034333333338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442752.46530666668</v>
      </c>
      <c r="K207" s="87">
        <f>17325490.0447/30</f>
        <v>577516.33482333331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x14ac:dyDescent="0.25">
      <c r="B208" s="80">
        <v>2010.9999932000101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367740.16745483869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1010052.4140677419</v>
      </c>
      <c r="O208" s="104">
        <f t="shared" si="6"/>
        <v>700299</v>
      </c>
      <c r="P208" s="96">
        <f t="shared" ref="P208:P213" si="7">N208-N207</f>
        <v>-67386.011168924626</v>
      </c>
      <c r="Q208" s="110"/>
      <c r="R208" s="110"/>
      <c r="S208" s="29"/>
    </row>
    <row r="209" spans="2:47" x14ac:dyDescent="0.25">
      <c r="B209" s="80">
        <v>2011.0833265000099</v>
      </c>
      <c r="C209" s="52">
        <v>40544</v>
      </c>
      <c r="D209" s="107">
        <v>4287.6129000000001</v>
      </c>
      <c r="E209" s="107">
        <v>716.13</v>
      </c>
      <c r="F209" s="107">
        <v>2187.8386999999998</v>
      </c>
      <c r="G209" s="107">
        <v>11000.3226</v>
      </c>
      <c r="H209" s="107">
        <v>1325.0951</v>
      </c>
      <c r="I209" s="107">
        <v>9560.5161000000007</v>
      </c>
      <c r="J209" s="107">
        <v>367427.41869999998</v>
      </c>
      <c r="K209" s="107">
        <v>610255.51520000002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47" x14ac:dyDescent="0.25">
      <c r="B210" s="80">
        <v>2011.1666598000099</v>
      </c>
      <c r="C210" s="52">
        <v>40575</v>
      </c>
      <c r="D210" s="107">
        <f>131510/28</f>
        <v>4696.7857142857147</v>
      </c>
      <c r="E210" s="107">
        <f>23613.2536/28</f>
        <v>843.33048571428571</v>
      </c>
      <c r="F210" s="107">
        <f>70672/28</f>
        <v>2524</v>
      </c>
      <c r="G210" s="107">
        <f>335390/28</f>
        <v>11978.214285714286</v>
      </c>
      <c r="H210" s="107">
        <f>16711.1428/28</f>
        <v>596.82652857142864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609819.15145357139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48606.942728571477</v>
      </c>
      <c r="Q210" s="96"/>
      <c r="R210" s="96"/>
    </row>
    <row r="211" spans="2:47" x14ac:dyDescent="0.25">
      <c r="B211" s="80">
        <v>2011.24999310001</v>
      </c>
      <c r="C211" s="52">
        <v>40603</v>
      </c>
      <c r="D211" s="107">
        <f>147969/31</f>
        <v>4773.1935483870966</v>
      </c>
      <c r="E211" s="107">
        <f>28565.6959/31</f>
        <v>921.47406129032254</v>
      </c>
      <c r="F211" s="107">
        <f>85171/31</f>
        <v>2747.4516129032259</v>
      </c>
      <c r="G211" s="107">
        <f>395794/31</f>
        <v>12767.548387096775</v>
      </c>
      <c r="H211" s="107">
        <f>25677.0434/31</f>
        <v>828.29172258064511</v>
      </c>
      <c r="I211" s="107">
        <f>388055/31</f>
        <v>12517.903225806451</v>
      </c>
      <c r="J211" s="107">
        <f>11564560.1689/31</f>
        <v>373050.32802903227</v>
      </c>
      <c r="K211" s="107">
        <f>11125452.5796/31</f>
        <v>358885.56708387099</v>
      </c>
      <c r="L211" s="107"/>
      <c r="M211" s="107">
        <f>406136/31</f>
        <v>13101.161290322581</v>
      </c>
      <c r="N211" s="90">
        <f t="shared" si="5"/>
        <v>779592.91896129039</v>
      </c>
      <c r="O211" s="104">
        <f>+O210</f>
        <v>1099094</v>
      </c>
      <c r="P211" s="90">
        <f t="shared" si="7"/>
        <v>-289076.79566728103</v>
      </c>
    </row>
    <row r="212" spans="2:47" x14ac:dyDescent="0.25">
      <c r="B212" s="80">
        <v>2011.33332640001</v>
      </c>
      <c r="C212" s="52">
        <v>40634</v>
      </c>
      <c r="D212" s="107">
        <f>143158/30</f>
        <v>4771.9333333333334</v>
      </c>
      <c r="E212" s="107">
        <f>24569.158/30</f>
        <v>818.97193333333337</v>
      </c>
      <c r="F212" s="107">
        <f>76772/30</f>
        <v>2559.0666666666666</v>
      </c>
      <c r="G212" s="107">
        <f>391044/30</f>
        <v>13034.8</v>
      </c>
      <c r="H212" s="107">
        <f>104006.6814/30</f>
        <v>3466.8893800000001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603949.97427333333</v>
      </c>
      <c r="L212" s="107"/>
      <c r="M212" s="107">
        <f>308682/30</f>
        <v>10289.4</v>
      </c>
      <c r="N212" s="90">
        <f t="shared" si="5"/>
        <v>1034488.74642</v>
      </c>
      <c r="O212" s="104">
        <f t="shared" ref="O212:O220" si="8">+O211</f>
        <v>1099094</v>
      </c>
      <c r="P212" s="90">
        <f t="shared" si="7"/>
        <v>254895.82745870959</v>
      </c>
    </row>
    <row r="213" spans="2:47" x14ac:dyDescent="0.25">
      <c r="B213" s="80">
        <v>2011.4166597000101</v>
      </c>
      <c r="C213" s="52">
        <v>40664</v>
      </c>
      <c r="D213" s="107">
        <v>4193.2902999999997</v>
      </c>
      <c r="E213" s="107">
        <v>894.8442</v>
      </c>
      <c r="F213" s="107">
        <v>2480.9355</v>
      </c>
      <c r="G213" s="107">
        <v>14177.483899999999</v>
      </c>
      <c r="H213" s="107">
        <v>1356.5744999999999</v>
      </c>
      <c r="I213" s="107">
        <v>11597.6774</v>
      </c>
      <c r="J213" s="107">
        <v>432172.87709999998</v>
      </c>
      <c r="K213" s="107">
        <v>634906.19550000003</v>
      </c>
      <c r="L213" s="107"/>
      <c r="M213" s="107">
        <v>10148.354799999999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77439.486780000152</v>
      </c>
    </row>
    <row r="214" spans="2:47" x14ac:dyDescent="0.25">
      <c r="B214" s="80">
        <v>2011.4999930000099</v>
      </c>
      <c r="C214" s="52">
        <v>40695</v>
      </c>
      <c r="D214" s="107">
        <f>128333/30</f>
        <v>4277.7666666666664</v>
      </c>
      <c r="E214" s="107">
        <f>29020.656/30</f>
        <v>967.35519999999997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295.53850333333332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546905.48656666663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t="shared" ref="P214:P225" si="9">N214-N213</f>
        <v>-46489.589370000176</v>
      </c>
    </row>
    <row r="215" spans="2:47" x14ac:dyDescent="0.25">
      <c r="B215" s="80">
        <v>2011.58332630001</v>
      </c>
      <c r="C215" s="52">
        <v>40725</v>
      </c>
      <c r="D215" s="107">
        <f>144701/31</f>
        <v>4667.7741935483873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612436.92724838713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47" x14ac:dyDescent="0.2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960.83870967741939</v>
      </c>
      <c r="F216" s="107">
        <f>82710/31</f>
        <v>2668.0645161290322</v>
      </c>
      <c r="G216" s="107">
        <f>482524/31</f>
        <v>15565.290322580646</v>
      </c>
      <c r="H216" s="107">
        <v>178.45161290322579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640279.29032258061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37854028.999999993</v>
      </c>
    </row>
    <row r="217" spans="2:47" x14ac:dyDescent="0.25">
      <c r="B217" s="80">
        <v>2011.7499929000101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47" x14ac:dyDescent="0.25">
      <c r="B218" s="80">
        <v>2011.8333262000101</v>
      </c>
      <c r="C218" s="52">
        <v>40817</v>
      </c>
      <c r="D218" s="107">
        <f>147612/31</f>
        <v>4761.677419354839</v>
      </c>
      <c r="E218" s="107">
        <v>916.51612903225805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9608.8709677419356</v>
      </c>
      <c r="J218" s="107">
        <f>16455610/31</f>
        <v>530826.12903225806</v>
      </c>
      <c r="K218" s="107">
        <f>18931865/31</f>
        <v>610705.32258064521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47" x14ac:dyDescent="0.25">
      <c r="B219" s="80">
        <v>2011.9166595000099</v>
      </c>
      <c r="C219" s="52">
        <v>40848</v>
      </c>
      <c r="D219" s="107">
        <f>144746/30</f>
        <v>4824.8666666666668</v>
      </c>
      <c r="E219" s="107">
        <v>964.66666666666663</v>
      </c>
      <c r="F219" s="107">
        <f>82035/30</f>
        <v>2734.5</v>
      </c>
      <c r="G219" s="107">
        <f>434043/30</f>
        <v>14468.1</v>
      </c>
      <c r="H219" s="107">
        <v>638.36666666666667</v>
      </c>
      <c r="I219" s="107">
        <f>264752/30</f>
        <v>8825.0666666666675</v>
      </c>
      <c r="J219" s="107">
        <f>15037203/30</f>
        <v>501240.1</v>
      </c>
      <c r="K219" s="107">
        <f>18895186/30</f>
        <v>629839.53333333333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-17372.226881720591</v>
      </c>
      <c r="Q219" s="112">
        <f>+N219*31</f>
        <v>36698170.966666661</v>
      </c>
    </row>
    <row r="220" spans="2:47" ht="13.8" thickBot="1" x14ac:dyDescent="0.3">
      <c r="B220" s="80">
        <v>2011.99999280001</v>
      </c>
      <c r="C220" s="52">
        <v>40878</v>
      </c>
      <c r="D220" s="115">
        <v>4312.2258064516127</v>
      </c>
      <c r="E220" s="115">
        <v>981.67741935483866</v>
      </c>
      <c r="F220" s="115">
        <v>2292.5806451612902</v>
      </c>
      <c r="G220" s="115">
        <v>10741.096774193549</v>
      </c>
      <c r="H220" s="115">
        <v>2032.2258064516129</v>
      </c>
      <c r="I220" s="115">
        <v>7048.1935483870966</v>
      </c>
      <c r="J220" s="115">
        <v>487324.51612903224</v>
      </c>
      <c r="K220" s="115">
        <v>625423.06451612909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47" x14ac:dyDescent="0.25">
      <c r="B221" s="80">
        <v>2012.08332610001</v>
      </c>
      <c r="C221" s="57">
        <v>40909</v>
      </c>
      <c r="D221" s="120">
        <v>4653.3226000000004</v>
      </c>
      <c r="E221" s="117">
        <v>955.6377</v>
      </c>
      <c r="F221" s="117">
        <v>2782.3870999999999</v>
      </c>
      <c r="G221" s="117">
        <v>8587.5805999999993</v>
      </c>
      <c r="H221" s="117">
        <v>684.76080000000002</v>
      </c>
      <c r="I221" s="117">
        <v>7727.4215999999997</v>
      </c>
      <c r="J221" s="117">
        <v>433129.41350000002</v>
      </c>
      <c r="K221" s="117">
        <v>532903.49470000004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x14ac:dyDescent="0.25">
      <c r="B222" s="80">
        <v>2012.1666594000101</v>
      </c>
      <c r="C222" s="57">
        <v>40940</v>
      </c>
      <c r="D222" s="121">
        <f>122803/29</f>
        <v>4234.5862068965516</v>
      </c>
      <c r="E222" s="107">
        <v>956.17241379310349</v>
      </c>
      <c r="F222" s="107">
        <f>80910/29</f>
        <v>2790</v>
      </c>
      <c r="G222" s="107">
        <f>259582/29</f>
        <v>8951.1034482758623</v>
      </c>
      <c r="H222" s="107">
        <f>6939.29/29</f>
        <v>239.28586206896551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606405.58434482757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33276050.945999999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47" x14ac:dyDescent="0.25">
      <c r="B223" s="80">
        <v>2012.2499927000099</v>
      </c>
      <c r="C223" s="57">
        <v>40969</v>
      </c>
      <c r="D223" s="121">
        <f>135818/31</f>
        <v>4381.2258064516127</v>
      </c>
      <c r="E223" s="115">
        <f>30666.0433/31</f>
        <v>989.22720322580653</v>
      </c>
      <c r="F223" s="115">
        <f>83899/31</f>
        <v>2706.4193548387098</v>
      </c>
      <c r="G223" s="115">
        <f>295351/31</f>
        <v>9527.4516129032254</v>
      </c>
      <c r="H223" s="115">
        <f>10165.0753/31</f>
        <v>327.90565483870967</v>
      </c>
      <c r="I223" s="107">
        <f>240552.7671/31</f>
        <v>7759.7666806451616</v>
      </c>
      <c r="J223" s="115">
        <f>15568887.3329/31</f>
        <v>502222.17202903226</v>
      </c>
      <c r="K223" s="107">
        <f>19255837.3517/31</f>
        <v>621156.04360322584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t="shared" ref="O223:O232" si="10">+O222</f>
        <v>1144247.9535519127</v>
      </c>
      <c r="P223" s="113">
        <f t="shared" si="9"/>
        <v>25760.344840600621</v>
      </c>
      <c r="Q223" s="112">
        <f>+N223*31</f>
        <v>36369521.701299995</v>
      </c>
    </row>
    <row r="224" spans="2:47" x14ac:dyDescent="0.25">
      <c r="B224" s="80">
        <v>2012.3333260000099</v>
      </c>
      <c r="C224" s="57">
        <v>41000</v>
      </c>
      <c r="D224" s="121">
        <v>4652.5</v>
      </c>
      <c r="E224" s="115">
        <v>879.50766666666664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7840.6970000000001</v>
      </c>
      <c r="J224" s="115">
        <f>14038756.55/30</f>
        <v>467958.5516666667</v>
      </c>
      <c r="K224" s="115">
        <f>17309755.26/30</f>
        <v>576991.84200000006</v>
      </c>
      <c r="L224" s="115"/>
      <c r="M224" s="115">
        <f>610435.96/30</f>
        <v>20347.865333333331</v>
      </c>
      <c r="N224" s="90">
        <f t="shared" ref="N224:N250" si="11">SUM(D224:M224)</f>
        <v>1089538.9046666669</v>
      </c>
      <c r="O224" s="122">
        <f t="shared" si="10"/>
        <v>1144247.9535519127</v>
      </c>
      <c r="P224" s="113">
        <f t="shared" si="9"/>
        <v>-83671.472794623347</v>
      </c>
      <c r="Q224" s="112">
        <f>+N224*30</f>
        <v>32686167.140000008</v>
      </c>
    </row>
    <row r="225" spans="2:17" x14ac:dyDescent="0.25">
      <c r="B225" s="80">
        <v>2012.41665930001</v>
      </c>
      <c r="C225" s="57">
        <v>41030</v>
      </c>
      <c r="D225" s="121">
        <v>4878.7741935483873</v>
      </c>
      <c r="E225" s="115">
        <v>967.54451612903233</v>
      </c>
      <c r="F225" s="115">
        <v>2894.9354838709678</v>
      </c>
      <c r="G225" s="115">
        <v>8271.677419354839</v>
      </c>
      <c r="H225" s="115">
        <v>258.84129032258062</v>
      </c>
      <c r="I225" s="115">
        <v>6319.3793548387102</v>
      </c>
      <c r="J225" s="115">
        <v>507187.00290322577</v>
      </c>
      <c r="K225" s="115">
        <v>598636.33129032259</v>
      </c>
      <c r="L225" s="115"/>
      <c r="M225" s="115">
        <v>25842.352258064519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65717.934043010464</v>
      </c>
      <c r="Q225" s="112">
        <f>+N225*31</f>
        <v>35812962</v>
      </c>
    </row>
    <row r="226" spans="2:17" x14ac:dyDescent="0.25">
      <c r="B226" s="80">
        <v>2012.49999260001</v>
      </c>
      <c r="C226" s="57">
        <v>41061</v>
      </c>
      <c r="D226" s="121">
        <v>5054.4333333333334</v>
      </c>
      <c r="E226" s="115">
        <v>974.37199999999996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48174.685666666672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37891227.619999997</v>
      </c>
    </row>
    <row r="227" spans="2:17" x14ac:dyDescent="0.25">
      <c r="B227" s="80">
        <v>2012.5833259000101</v>
      </c>
      <c r="C227" s="57">
        <v>41091</v>
      </c>
      <c r="D227" s="121">
        <v>5039.2581</v>
      </c>
      <c r="E227" s="115">
        <v>960.26310000000001</v>
      </c>
      <c r="F227" s="115">
        <v>2681.2903000000001</v>
      </c>
      <c r="G227" s="115">
        <v>14394.741900000001</v>
      </c>
      <c r="H227" s="115">
        <v>1500.0385000000001</v>
      </c>
      <c r="I227" s="115">
        <v>12692.200999999999</v>
      </c>
      <c r="J227" s="115">
        <v>558676.35320000001</v>
      </c>
      <c r="K227" s="115">
        <v>633208.02339999995</v>
      </c>
      <c r="L227" s="115"/>
      <c r="M227" s="115">
        <v>46208.952899999997</v>
      </c>
      <c r="N227" s="19">
        <f t="shared" si="11"/>
        <v>1275361.1223999998</v>
      </c>
      <c r="O227" s="122">
        <f t="shared" si="10"/>
        <v>1144247.9535519127</v>
      </c>
      <c r="P227" s="113">
        <f t="shared" ref="P227:P259" si="12">N227-N226</f>
        <v>12320.201733333291</v>
      </c>
      <c r="Q227" s="112">
        <f>+N227*31</f>
        <v>39536194.794399992</v>
      </c>
    </row>
    <row r="228" spans="2:17" x14ac:dyDescent="0.25">
      <c r="B228" s="80">
        <v>2012.6666592000099</v>
      </c>
      <c r="C228" s="57">
        <v>41122</v>
      </c>
      <c r="D228" s="121">
        <v>4333.2580645161288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6661.0661290322578</v>
      </c>
      <c r="I228" s="115">
        <v>10900.183967741936</v>
      </c>
      <c r="J228" s="115">
        <v>531282.59080645163</v>
      </c>
      <c r="K228" s="115">
        <v>616292.8479032258</v>
      </c>
      <c r="L228" s="115"/>
      <c r="M228" s="115">
        <v>48092.079354838708</v>
      </c>
      <c r="N228" s="19">
        <f t="shared" si="11"/>
        <v>1236067.0985483869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38318080.054999992</v>
      </c>
    </row>
    <row r="229" spans="2:17" x14ac:dyDescent="0.25">
      <c r="B229" s="80">
        <v>2012.74999250001</v>
      </c>
      <c r="C229" s="57">
        <v>41153</v>
      </c>
      <c r="D229" s="121">
        <v>4917.833333333333</v>
      </c>
      <c r="E229" s="115">
        <v>863.27116333333333</v>
      </c>
      <c r="F229" s="115">
        <v>3244.2666666666669</v>
      </c>
      <c r="G229" s="115">
        <v>16223.566666666668</v>
      </c>
      <c r="H229" s="115">
        <v>6558.4774400000006</v>
      </c>
      <c r="I229" s="115">
        <v>12191.5126</v>
      </c>
      <c r="J229" s="115">
        <v>532219.28875333327</v>
      </c>
      <c r="K229" s="115">
        <v>633219.14832000004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7" x14ac:dyDescent="0.25">
      <c r="B230" s="80">
        <v>2012.83332580001</v>
      </c>
      <c r="C230" s="57">
        <v>41183</v>
      </c>
      <c r="D230" s="121">
        <f>166297/31</f>
        <v>5364.4193548387093</v>
      </c>
      <c r="E230" s="115">
        <f>25604.9853/31</f>
        <v>825.96726774193553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3823.2422870967739</v>
      </c>
      <c r="I230" s="115">
        <f>275969.6434/31</f>
        <v>8902.2465612903234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38229.611964516131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-68595.687241182895</v>
      </c>
    </row>
    <row r="231" spans="2:17" x14ac:dyDescent="0.25">
      <c r="B231" s="80">
        <v>2012.9166591000101</v>
      </c>
      <c r="C231" s="57">
        <v>41214</v>
      </c>
      <c r="D231" s="121">
        <v>5499.6333000000004</v>
      </c>
      <c r="E231" s="115">
        <v>963.65260000000001</v>
      </c>
      <c r="F231" s="115">
        <v>3806.4666999999999</v>
      </c>
      <c r="G231" s="115">
        <v>6833.1666999999998</v>
      </c>
      <c r="H231" s="115">
        <v>6547.6234999999997</v>
      </c>
      <c r="I231" s="115">
        <v>3864.8263000000002</v>
      </c>
      <c r="J231" s="115">
        <v>440466.9142</v>
      </c>
      <c r="K231" s="115">
        <v>332876.84669999999</v>
      </c>
      <c r="L231" s="115"/>
      <c r="M231" s="115">
        <v>28726.049200000001</v>
      </c>
      <c r="N231" s="19">
        <f t="shared" si="11"/>
        <v>829585.17920000001</v>
      </c>
      <c r="O231" s="122">
        <f t="shared" si="10"/>
        <v>1144247.9535519127</v>
      </c>
      <c r="P231" s="113">
        <f t="shared" si="12"/>
        <v>-359524.58183548378</v>
      </c>
    </row>
    <row r="232" spans="2:17" x14ac:dyDescent="0.25">
      <c r="B232" s="80">
        <v>2012.9999924000099</v>
      </c>
      <c r="C232" s="123">
        <v>41244</v>
      </c>
      <c r="D232" s="121">
        <v>4381.7096774193551</v>
      </c>
      <c r="E232" s="115">
        <v>1030.6552580645161</v>
      </c>
      <c r="F232" s="115">
        <v>2940.0967741935483</v>
      </c>
      <c r="G232" s="115">
        <v>6135.9354838709678</v>
      </c>
      <c r="H232" s="115">
        <v>6146.552483870968</v>
      </c>
      <c r="I232" s="115">
        <v>2748.7855806451612</v>
      </c>
      <c r="J232" s="115">
        <v>459930.93264516129</v>
      </c>
      <c r="K232" s="115">
        <v>610864.85480645171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7" x14ac:dyDescent="0.25">
      <c r="B233" s="80">
        <v>2013.0833257000099</v>
      </c>
      <c r="C233" s="53">
        <v>41275</v>
      </c>
      <c r="D233" s="121">
        <f>188162/31</f>
        <v>6069.7419354838712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6656.6451612903229</v>
      </c>
      <c r="H233" s="115">
        <f>183101.1994/31</f>
        <v>5906.4903032258071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641162.48935483873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1179614.0900000001</v>
      </c>
      <c r="P233" s="113">
        <f t="shared" si="12"/>
        <v>1706.650980645325</v>
      </c>
    </row>
    <row r="234" spans="2:17" x14ac:dyDescent="0.25">
      <c r="B234" s="80">
        <v>2013.16665900001</v>
      </c>
      <c r="C234" s="53">
        <v>41306</v>
      </c>
      <c r="D234" s="121">
        <f>173009/28</f>
        <v>6178.8928571428569</v>
      </c>
      <c r="E234" s="115">
        <f>25481.3648/28</f>
        <v>910.04874285714288</v>
      </c>
      <c r="F234" s="115">
        <f>88655/28</f>
        <v>3166.25</v>
      </c>
      <c r="G234" s="115">
        <f>199325/28</f>
        <v>7118.75</v>
      </c>
      <c r="H234" s="115">
        <f>165686.8516/28</f>
        <v>5917.3875571428571</v>
      </c>
      <c r="I234" s="115">
        <f>120567.521/28</f>
        <v>4305.9828928571424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1179614.0900000001</v>
      </c>
      <c r="P234" s="113">
        <f t="shared" si="12"/>
        <v>44079.479270622134</v>
      </c>
    </row>
    <row r="235" spans="2:17" x14ac:dyDescent="0.2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914.05450322580646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2911.0072935483872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639548.27721935487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t="shared" ref="O235:O244" si="13">+O234</f>
        <v>1179614.0900000001</v>
      </c>
      <c r="P235" s="113">
        <f t="shared" si="12"/>
        <v>-62255.101967396447</v>
      </c>
    </row>
    <row r="236" spans="2:17" x14ac:dyDescent="0.25">
      <c r="B236" s="80">
        <v>2013.3333256000101</v>
      </c>
      <c r="C236" s="53">
        <v>41365</v>
      </c>
      <c r="D236" s="121">
        <f>167384/30</f>
        <v>5579.4666666666662</v>
      </c>
      <c r="E236" s="115">
        <f>8926.17/30</f>
        <v>297.53899999999999</v>
      </c>
      <c r="F236" s="115">
        <f>88861/30</f>
        <v>2962.0333333333333</v>
      </c>
      <c r="G236" s="115">
        <f>182539/30</f>
        <v>6084.6333333333332</v>
      </c>
      <c r="H236" s="115">
        <f>169164.38/30</f>
        <v>5638.8126666666667</v>
      </c>
      <c r="I236" s="115">
        <f>19491.56/30</f>
        <v>649.71866666666676</v>
      </c>
      <c r="J236" s="115">
        <f>13429412.65/30</f>
        <v>447647.08833333332</v>
      </c>
      <c r="K236" s="115">
        <f>19262324.83/30</f>
        <v>642077.49433333322</v>
      </c>
      <c r="L236" s="115"/>
      <c r="M236" s="115">
        <f>284906.56/30</f>
        <v>9496.8853333333336</v>
      </c>
      <c r="N236" s="30">
        <f t="shared" si="11"/>
        <v>1120433.6716666666</v>
      </c>
      <c r="O236" s="124">
        <f t="shared" si="13"/>
        <v>1179614.0900000001</v>
      </c>
      <c r="P236" s="113">
        <f t="shared" si="12"/>
        <v>31701.157737634378</v>
      </c>
    </row>
    <row r="237" spans="2:17" x14ac:dyDescent="0.25">
      <c r="B237" s="80">
        <v>2013.4166589000099</v>
      </c>
      <c r="C237" s="53">
        <v>41395</v>
      </c>
      <c r="D237" s="121">
        <f>205820/31</f>
        <v>6639.3548387096771</v>
      </c>
      <c r="E237" s="115">
        <f>23668.34/31</f>
        <v>763.49483870967742</v>
      </c>
      <c r="F237" s="115">
        <f>100835/31</f>
        <v>3252.7419354838707</v>
      </c>
      <c r="G237" s="115">
        <f>191886/31</f>
        <v>6189.8709677419356</v>
      </c>
      <c r="H237" s="115">
        <f>213580.64/31</f>
        <v>6889.6980645161293</v>
      </c>
      <c r="I237" s="115">
        <f>25800.85/31</f>
        <v>832.28548387096771</v>
      </c>
      <c r="J237" s="115">
        <f>16895426.87/31</f>
        <v>545013.77</v>
      </c>
      <c r="K237" s="115">
        <f>19569249.52/31</f>
        <v>631266.11354838707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1179614.0900000001</v>
      </c>
      <c r="P237" s="113">
        <f t="shared" si="12"/>
        <v>95259.965752688237</v>
      </c>
    </row>
    <row r="238" spans="2:17" x14ac:dyDescent="0.25">
      <c r="B238" s="80">
        <v>2013.49999220001</v>
      </c>
      <c r="C238" s="53">
        <v>41426</v>
      </c>
      <c r="D238" s="121">
        <f>145646/30</f>
        <v>4854.8666666666668</v>
      </c>
      <c r="E238" s="115">
        <f>26304.47/30</f>
        <v>876.81566666666674</v>
      </c>
      <c r="F238" s="115">
        <f>91635/30</f>
        <v>3054.5</v>
      </c>
      <c r="G238" s="115">
        <f>181503/30</f>
        <v>6050.1</v>
      </c>
      <c r="H238" s="115">
        <f>198980.29/30</f>
        <v>6632.6763333333338</v>
      </c>
      <c r="I238" s="115">
        <f>81589.77/30</f>
        <v>2719.6590000000001</v>
      </c>
      <c r="J238" s="115">
        <f>15854801.01/30</f>
        <v>528493.36699999997</v>
      </c>
      <c r="K238" s="115">
        <f>18841060.41/30</f>
        <v>628035.34699999995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1179614.0900000001</v>
      </c>
      <c r="P238" s="113">
        <f t="shared" si="12"/>
        <v>-22161.025752688292</v>
      </c>
    </row>
    <row r="239" spans="2:17" x14ac:dyDescent="0.2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1028.8880645161289</v>
      </c>
      <c r="F239" s="115">
        <f>103538/31</f>
        <v>3339.9354838709678</v>
      </c>
      <c r="G239" s="115">
        <f>262899/31</f>
        <v>8480.6129032258068</v>
      </c>
      <c r="H239" s="115">
        <f>211527.22/31</f>
        <v>6823.4587096774194</v>
      </c>
      <c r="I239" s="115">
        <f>188685.2/31</f>
        <v>6086.61935483871</v>
      </c>
      <c r="J239" s="115">
        <f>16950349.97/31</f>
        <v>546785.48290322581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1179614.0900000001</v>
      </c>
      <c r="P239" s="113">
        <f t="shared" si="12"/>
        <v>-44648.895860215183</v>
      </c>
    </row>
    <row r="240" spans="2:17" x14ac:dyDescent="0.25">
      <c r="B240" s="80">
        <v>2013.6666588000101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3306.9677419354839</v>
      </c>
      <c r="G240" s="115">
        <f>240023/31</f>
        <v>7742.677419354839</v>
      </c>
      <c r="H240" s="115">
        <f>204381.69/31</f>
        <v>6592.9577419354837</v>
      </c>
      <c r="I240" s="115">
        <f>186923.43/31</f>
        <v>6029.7880645161285</v>
      </c>
      <c r="J240" s="115">
        <f>17877312.07/31</f>
        <v>576687.48612903222</v>
      </c>
      <c r="K240" s="115">
        <f>19848336.9/31</f>
        <v>640268.93225806451</v>
      </c>
      <c r="L240" s="115"/>
      <c r="M240" s="115">
        <f>683460/31</f>
        <v>22047.096774193549</v>
      </c>
      <c r="N240" s="30">
        <f t="shared" si="11"/>
        <v>1269350.0551612903</v>
      </c>
      <c r="O240" s="124">
        <f t="shared" si="13"/>
        <v>1179614.0900000001</v>
      </c>
      <c r="P240" s="113">
        <f t="shared" si="12"/>
        <v>120466.33935483894</v>
      </c>
    </row>
    <row r="241" spans="2:16" x14ac:dyDescent="0.25">
      <c r="B241" s="80">
        <v>2013.7499921000101</v>
      </c>
      <c r="C241" s="53">
        <v>41518</v>
      </c>
      <c r="D241" s="121">
        <f>156982/30</f>
        <v>5232.7333333333336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5849.6970000000001</v>
      </c>
      <c r="I241" s="115">
        <f>129807.67/30</f>
        <v>4326.922333333333</v>
      </c>
      <c r="J241" s="115">
        <f>16892875.76/30</f>
        <v>563095.85866666667</v>
      </c>
      <c r="K241" s="115">
        <f>19081290.35/30</f>
        <v>636043.01166666672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1179614.0900000001</v>
      </c>
      <c r="P241" s="113">
        <f t="shared" si="12"/>
        <v>-29446.815494623501</v>
      </c>
    </row>
    <row r="242" spans="2:16" x14ac:dyDescent="0.25">
      <c r="B242" s="80">
        <v>2013.8333254000099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6069.7741935483873</v>
      </c>
      <c r="H242" s="115">
        <f>211276.27/31</f>
        <v>6815.3635483870967</v>
      </c>
      <c r="I242" s="115">
        <f>113406.79/31</f>
        <v>3658.2835483870967</v>
      </c>
      <c r="J242" s="115">
        <f>16766875.49/31</f>
        <v>540866.95129032258</v>
      </c>
      <c r="K242" s="115">
        <f>19880435.77/31</f>
        <v>641304.37967741932</v>
      </c>
      <c r="L242" s="115"/>
      <c r="M242" s="115">
        <f>299118.54/31</f>
        <v>9648.9851612903221</v>
      </c>
      <c r="N242" s="30">
        <f t="shared" si="11"/>
        <v>1218599.9822580644</v>
      </c>
      <c r="O242" s="124">
        <f t="shared" si="13"/>
        <v>1179614.0900000001</v>
      </c>
      <c r="P242" s="113">
        <f t="shared" si="12"/>
        <v>-21303.257408602396</v>
      </c>
    </row>
    <row r="243" spans="2:16" x14ac:dyDescent="0.25">
      <c r="B243" s="80">
        <v>2013.91665870001</v>
      </c>
      <c r="C243" s="53">
        <v>41579</v>
      </c>
      <c r="D243" s="121">
        <f>202517/30</f>
        <v>6750.5666666666666</v>
      </c>
      <c r="E243" s="115">
        <f>48502.3/30</f>
        <v>1616.7433333333333</v>
      </c>
      <c r="F243" s="115">
        <f>47484/30</f>
        <v>1582.8</v>
      </c>
      <c r="G243" s="115">
        <f>191452/30</f>
        <v>6381.7333333333336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538932.47466666671</v>
      </c>
      <c r="K243" s="115">
        <f>19038862.63/30</f>
        <v>634628.75433333335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1179614.0900000001</v>
      </c>
      <c r="P243" s="113">
        <f t="shared" si="12"/>
        <v>-4308.9095913979691</v>
      </c>
    </row>
    <row r="244" spans="2:16" x14ac:dyDescent="0.25">
      <c r="B244" s="80">
        <v>2013.99999200001</v>
      </c>
      <c r="C244" s="53">
        <v>41609</v>
      </c>
      <c r="D244" s="121">
        <f>207959/31</f>
        <v>6708.3548387096771</v>
      </c>
      <c r="E244" s="115">
        <f>38817.01/31</f>
        <v>1252.1616129032259</v>
      </c>
      <c r="F244" s="115">
        <f>99276/31</f>
        <v>3202.4516129032259</v>
      </c>
      <c r="G244" s="115">
        <f>190557/31</f>
        <v>6147</v>
      </c>
      <c r="H244" s="115">
        <f>204300/31</f>
        <v>6590.322580645161</v>
      </c>
      <c r="I244" s="115">
        <f>141941.74/31</f>
        <v>4578.7658064516127</v>
      </c>
      <c r="J244" s="115">
        <f>15689885.08/31</f>
        <v>506125.3251612903</v>
      </c>
      <c r="K244" s="115">
        <f>19869646.39/31</f>
        <v>640956.33516129036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1179614.0900000001</v>
      </c>
      <c r="P244" s="113">
        <f t="shared" si="12"/>
        <v>-27405.993376343977</v>
      </c>
    </row>
    <row r="245" spans="2:16" s="131" customFormat="1" x14ac:dyDescent="0.25">
      <c r="B245" s="125">
        <f t="shared" ref="B245:B308" si="14">+B244+0.0833333</f>
        <v>2014.0833253000101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6536.7983870967746</v>
      </c>
      <c r="I245" s="127">
        <f>231205.98/31</f>
        <v>7458.2574193548389</v>
      </c>
      <c r="J245" s="127">
        <f>15548127.74/31</f>
        <v>501552.50774193549</v>
      </c>
      <c r="K245" s="127">
        <f>19692057.51/31</f>
        <v>635227.66161290323</v>
      </c>
      <c r="L245" s="127"/>
      <c r="M245" s="127">
        <f>446716.29/31</f>
        <v>14410.202903225805</v>
      </c>
      <c r="N245" s="128">
        <f t="shared" si="11"/>
        <v>1182989.9674193549</v>
      </c>
      <c r="O245" s="129">
        <f>456406976/365</f>
        <v>1250430.0712328767</v>
      </c>
      <c r="P245" s="130">
        <f t="shared" si="12"/>
        <v>-3895.1118709675502</v>
      </c>
    </row>
    <row r="246" spans="2:16" s="131" customFormat="1" x14ac:dyDescent="0.25">
      <c r="B246" s="125">
        <f t="shared" si="14"/>
        <v>2014.1666586000101</v>
      </c>
      <c r="C246" s="126">
        <v>41671</v>
      </c>
      <c r="D246" s="127">
        <f>154620/28</f>
        <v>5522.1428571428569</v>
      </c>
      <c r="E246" s="127">
        <f>45987/28</f>
        <v>1642.3928571428571</v>
      </c>
      <c r="F246" s="127">
        <f>71843/28</f>
        <v>2565.8214285714284</v>
      </c>
      <c r="G246" s="127">
        <f>224977/28</f>
        <v>8034.8928571428569</v>
      </c>
      <c r="H246" s="127">
        <f>228168.87/28</f>
        <v>8148.8882142857137</v>
      </c>
      <c r="I246" s="127">
        <f>109540.63/28</f>
        <v>3912.1653571428574</v>
      </c>
      <c r="J246" s="127">
        <f>15428348.23/28</f>
        <v>551012.43678571435</v>
      </c>
      <c r="K246" s="127">
        <f>17744628.07/28</f>
        <v>633736.71678571426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47561.218652073527</v>
      </c>
    </row>
    <row r="247" spans="2:16" s="131" customFormat="1" x14ac:dyDescent="0.2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1619.7125806451611</v>
      </c>
      <c r="F247" s="127">
        <f>73696/31</f>
        <v>2377.2903225806454</v>
      </c>
      <c r="G247" s="127">
        <f>252775/31</f>
        <v>8154.0322580645161</v>
      </c>
      <c r="H247" s="127">
        <f>308087.1/31</f>
        <v>9938.2935483870951</v>
      </c>
      <c r="I247" s="127">
        <f>162975.25/31</f>
        <v>5257.2661290322585</v>
      </c>
      <c r="J247" s="127">
        <f>19057628.03/31</f>
        <v>614762.19451612909</v>
      </c>
      <c r="K247" s="127">
        <f>19105776.42/31</f>
        <v>616315.36838709679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67846.555541474838</v>
      </c>
    </row>
    <row r="248" spans="2:16" s="131" customFormat="1" x14ac:dyDescent="0.25">
      <c r="B248" s="125">
        <f t="shared" si="14"/>
        <v>2014.3333252000102</v>
      </c>
      <c r="C248" s="132">
        <v>41730</v>
      </c>
      <c r="D248" s="127">
        <f>200359/30</f>
        <v>6678.6333333333332</v>
      </c>
      <c r="E248" s="127">
        <f>45862.88/30</f>
        <v>1528.7626666666665</v>
      </c>
      <c r="F248" s="127">
        <f>63882/30</f>
        <v>2129.4</v>
      </c>
      <c r="G248" s="127">
        <f>243059/30</f>
        <v>8101.9666666666662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572618.76899999997</v>
      </c>
      <c r="K248" s="127">
        <f>16479688.95/30</f>
        <v>549322.96499999997</v>
      </c>
      <c r="L248" s="127">
        <f>2730115.72/30</f>
        <v>91003.857333333333</v>
      </c>
      <c r="M248" s="127">
        <f>309412.55/30</f>
        <v>10313.751666666667</v>
      </c>
      <c r="N248" s="127">
        <f t="shared" si="11"/>
        <v>1256754.6726666666</v>
      </c>
      <c r="O248" s="129">
        <f t="shared" ref="O248:O256" si="15">+O247</f>
        <v>1250430.0712328767</v>
      </c>
      <c r="P248" s="130">
        <f t="shared" si="12"/>
        <v>-41643.068946236745</v>
      </c>
    </row>
    <row r="249" spans="2:16" s="131" customFormat="1" x14ac:dyDescent="0.2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558485.75032258069</v>
      </c>
      <c r="K249" s="127">
        <f>15228620.02/31</f>
        <v>491245.80709677417</v>
      </c>
      <c r="L249" s="127">
        <f>2568790.23/31</f>
        <v>82864.200967741941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-82623.122989247087</v>
      </c>
    </row>
    <row r="250" spans="2:16" s="131" customFormat="1" x14ac:dyDescent="0.2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x14ac:dyDescent="0.2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6107.6129032258068</v>
      </c>
      <c r="I251" s="127">
        <v>8119.2903225806449</v>
      </c>
      <c r="J251" s="127">
        <v>644686.06451612909</v>
      </c>
      <c r="K251" s="127">
        <v>463227.25806451612</v>
      </c>
      <c r="L251" s="127">
        <v>115827.96774193548</v>
      </c>
      <c r="M251" s="127">
        <v>13196.096774193549</v>
      </c>
      <c r="N251" s="127">
        <f t="shared" ref="N251:N262" si="16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x14ac:dyDescent="0.25">
      <c r="B252" s="125">
        <f t="shared" si="14"/>
        <v>2014.6666584000104</v>
      </c>
      <c r="C252" s="132">
        <v>41852</v>
      </c>
      <c r="D252" s="127">
        <v>9955.8709999999992</v>
      </c>
      <c r="E252" s="127">
        <v>1956.4003</v>
      </c>
      <c r="F252" s="127">
        <v>3600.9677000000001</v>
      </c>
      <c r="G252" s="127">
        <v>14832.258099999999</v>
      </c>
      <c r="H252" s="127">
        <v>6366.9484000000002</v>
      </c>
      <c r="I252" s="127">
        <v>8077.0697</v>
      </c>
      <c r="J252" s="127">
        <v>673810.75210000004</v>
      </c>
      <c r="K252" s="127">
        <v>481010.33169999998</v>
      </c>
      <c r="L252" s="127">
        <v>37537.194199999998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x14ac:dyDescent="0.2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x14ac:dyDescent="0.2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x14ac:dyDescent="0.2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x14ac:dyDescent="0.2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8629.1612903225814</v>
      </c>
      <c r="I256" s="180">
        <v>5569.0322580645161</v>
      </c>
      <c r="J256" s="180">
        <v>624992.16129032255</v>
      </c>
      <c r="K256" s="180">
        <v>531433.77419354836</v>
      </c>
      <c r="L256" s="180">
        <v>90899.580645161288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-41351.548387096962</v>
      </c>
    </row>
    <row r="257" spans="1:16" s="187" customFormat="1" x14ac:dyDescent="0.25">
      <c r="B257" s="183">
        <f t="shared" si="14"/>
        <v>2015.0833249000107</v>
      </c>
      <c r="C257" s="184">
        <v>42005</v>
      </c>
      <c r="D257" s="185">
        <v>9462.2258064516136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5607.9354838709678</v>
      </c>
      <c r="J257" s="185">
        <v>543248</v>
      </c>
      <c r="K257" s="185">
        <v>545663.48387096776</v>
      </c>
      <c r="L257" s="185">
        <v>86943.870967741939</v>
      </c>
      <c r="M257" s="185">
        <v>12718.741935483871</v>
      </c>
      <c r="N257" s="185">
        <f>+SUM(D257:M257)</f>
        <v>1233309.9032258063</v>
      </c>
      <c r="O257" s="185">
        <v>1294666.0900999999</v>
      </c>
      <c r="P257" s="186">
        <f>N257-N256</f>
        <v>-70223.548387096729</v>
      </c>
    </row>
    <row r="258" spans="1:16" s="187" customFormat="1" x14ac:dyDescent="0.25">
      <c r="B258" s="183">
        <f t="shared" si="14"/>
        <v>2015.1666582000107</v>
      </c>
      <c r="C258" s="184">
        <v>42036</v>
      </c>
      <c r="D258" s="185">
        <v>8833.7857142857138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10935.678571428571</v>
      </c>
      <c r="I258" s="185">
        <v>4576.3214285714284</v>
      </c>
      <c r="J258" s="185">
        <v>583878.07142857148</v>
      </c>
      <c r="K258" s="185">
        <v>513581.32142857142</v>
      </c>
      <c r="L258" s="185">
        <v>83334.071428571435</v>
      </c>
      <c r="M258" s="185">
        <v>14223.285714285714</v>
      </c>
      <c r="N258" s="185">
        <f t="shared" si="16"/>
        <v>1235733.75</v>
      </c>
      <c r="O258" s="185">
        <f>+O257</f>
        <v>1294666.0900999999</v>
      </c>
      <c r="P258" s="186">
        <f t="shared" si="12"/>
        <v>2423.8467741936911</v>
      </c>
    </row>
    <row r="259" spans="1:16" s="187" customFormat="1" x14ac:dyDescent="0.2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9418.9032258064508</v>
      </c>
      <c r="I259" s="185">
        <v>5308.3870967741932</v>
      </c>
      <c r="J259" s="185">
        <v>648717.80645161285</v>
      </c>
      <c r="K259" s="185">
        <v>459847.67741935485</v>
      </c>
      <c r="L259" s="185">
        <v>85955.193548387091</v>
      </c>
      <c r="M259" s="185">
        <v>14836.258064516129</v>
      </c>
      <c r="N259" s="185">
        <f t="shared" si="16"/>
        <v>1252104.5806451612</v>
      </c>
      <c r="O259" s="185">
        <f t="shared" ref="O259:O268" si="17">+O258</f>
        <v>1294666.0900999999</v>
      </c>
      <c r="P259" s="186">
        <f t="shared" si="12"/>
        <v>16370.830645161215</v>
      </c>
    </row>
    <row r="260" spans="1:16" s="187" customFormat="1" x14ac:dyDescent="0.25">
      <c r="B260" s="183">
        <f t="shared" si="14"/>
        <v>2015.3333248000108</v>
      </c>
      <c r="C260" s="184">
        <v>42095</v>
      </c>
      <c r="D260" s="185">
        <v>9274.7999999999993</v>
      </c>
      <c r="E260" s="185">
        <v>1581.2741766666666</v>
      </c>
      <c r="F260" s="185">
        <v>3099.2333333333331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594017.90183333331</v>
      </c>
      <c r="K260" s="185">
        <v>439317.15340999997</v>
      </c>
      <c r="L260" s="185">
        <v>63488.032713333334</v>
      </c>
      <c r="M260" s="185">
        <v>14572.772999999999</v>
      </c>
      <c r="N260" s="185">
        <f t="shared" si="16"/>
        <v>1153490.96845</v>
      </c>
      <c r="O260" s="185">
        <f t="shared" si="17"/>
        <v>1294666.0900999999</v>
      </c>
      <c r="P260" s="186">
        <f t="shared" ref="P260:P265" si="18">N260-N259</f>
        <v>-98613.612195161171</v>
      </c>
    </row>
    <row r="261" spans="1:16" s="187" customFormat="1" x14ac:dyDescent="0.25">
      <c r="B261" s="183">
        <f t="shared" si="14"/>
        <v>2015.4166581000109</v>
      </c>
      <c r="C261" s="184">
        <v>42125</v>
      </c>
      <c r="D261" s="185">
        <v>9211.9354838709678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8367.2258064516136</v>
      </c>
      <c r="I261" s="185">
        <v>7057.9677419354839</v>
      </c>
      <c r="J261" s="185">
        <v>616913.09677419357</v>
      </c>
      <c r="K261" s="185">
        <v>292298.3548387097</v>
      </c>
      <c r="L261" s="185">
        <v>57255.806451612902</v>
      </c>
      <c r="M261" s="185">
        <v>16405.612903225807</v>
      </c>
      <c r="N261" s="185">
        <f t="shared" si="16"/>
        <v>1025056.9677419355</v>
      </c>
      <c r="O261" s="185">
        <f t="shared" si="17"/>
        <v>1294666.0900999999</v>
      </c>
      <c r="P261" s="186">
        <f t="shared" si="18"/>
        <v>-128434.00070806453</v>
      </c>
    </row>
    <row r="262" spans="1:16" s="187" customFormat="1" x14ac:dyDescent="0.25">
      <c r="B262" s="183">
        <f t="shared" si="14"/>
        <v>2015.4999914000109</v>
      </c>
      <c r="C262" s="184">
        <v>42156</v>
      </c>
      <c r="D262" s="185">
        <v>9021.7333333333336</v>
      </c>
      <c r="E262" s="185">
        <v>2145.1999999999998</v>
      </c>
      <c r="F262" s="185">
        <v>3132.7333333333331</v>
      </c>
      <c r="G262" s="185">
        <v>14032.866666666667</v>
      </c>
      <c r="H262" s="185">
        <v>11017.8</v>
      </c>
      <c r="I262" s="185">
        <v>7550.0666666666666</v>
      </c>
      <c r="J262" s="185">
        <v>709752.16666666663</v>
      </c>
      <c r="K262" s="185">
        <v>493899.83333333331</v>
      </c>
      <c r="L262" s="185">
        <v>87204.46666666666</v>
      </c>
      <c r="M262" s="185">
        <v>13853.066666666668</v>
      </c>
      <c r="N262" s="185">
        <f t="shared" si="16"/>
        <v>1351609.9333333331</v>
      </c>
      <c r="O262" s="185">
        <f t="shared" si="17"/>
        <v>1294666.0900999999</v>
      </c>
      <c r="P262" s="186">
        <f t="shared" si="18"/>
        <v>326552.9655913976</v>
      </c>
    </row>
    <row r="263" spans="1:16" s="187" customFormat="1" x14ac:dyDescent="0.25">
      <c r="B263" s="183">
        <f t="shared" si="14"/>
        <v>2015.583324700011</v>
      </c>
      <c r="C263" s="184">
        <v>42186</v>
      </c>
      <c r="D263" s="185">
        <v>8545.8709677419356</v>
      </c>
      <c r="E263" s="185">
        <v>2170.0645161290322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690871.58064516133</v>
      </c>
      <c r="K263" s="185">
        <v>413778.67741935485</v>
      </c>
      <c r="L263" s="185">
        <v>66311</v>
      </c>
      <c r="M263" s="185">
        <v>11851</v>
      </c>
      <c r="N263" s="185">
        <f t="shared" ref="N263:N268" si="19">+SUM(D263:M263)</f>
        <v>1225001.4516129033</v>
      </c>
      <c r="O263" s="185">
        <f t="shared" si="17"/>
        <v>1294666.0900999999</v>
      </c>
      <c r="P263" s="186">
        <f t="shared" si="18"/>
        <v>-126608.48172042985</v>
      </c>
    </row>
    <row r="264" spans="1:16" s="187" customFormat="1" x14ac:dyDescent="0.2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2248.9354838709678</v>
      </c>
      <c r="F264" s="185">
        <v>2970.483870967742</v>
      </c>
      <c r="G264" s="185">
        <v>14873</v>
      </c>
      <c r="H264" s="185">
        <v>10305.161290322581</v>
      </c>
      <c r="I264" s="185">
        <v>7934.4193548387093</v>
      </c>
      <c r="J264" s="185">
        <v>690308.41935483867</v>
      </c>
      <c r="K264" s="185">
        <v>114776.03225806452</v>
      </c>
      <c r="L264" s="185">
        <v>36666.870967741932</v>
      </c>
      <c r="M264" s="185">
        <v>27430.451612903227</v>
      </c>
      <c r="N264" s="185">
        <f t="shared" si="19"/>
        <v>917233.74193548388</v>
      </c>
      <c r="O264" s="185">
        <f t="shared" si="17"/>
        <v>1294666.0900999999</v>
      </c>
      <c r="P264" s="186">
        <f t="shared" si="18"/>
        <v>-307767.70967741939</v>
      </c>
    </row>
    <row r="265" spans="1:16" s="187" customFormat="1" x14ac:dyDescent="0.25">
      <c r="B265" s="183">
        <f t="shared" si="14"/>
        <v>2015.7499913000111</v>
      </c>
      <c r="C265" s="184">
        <v>42248</v>
      </c>
      <c r="D265" s="185">
        <v>10156.733333333334</v>
      </c>
      <c r="E265" s="185">
        <v>2365.1999999999998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660422.72666666668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1294666.0900999999</v>
      </c>
      <c r="P265" s="186">
        <f t="shared" si="18"/>
        <v>149264.12573118298</v>
      </c>
    </row>
    <row r="266" spans="1:16" s="187" customFormat="1" x14ac:dyDescent="0.25">
      <c r="B266" s="183">
        <f t="shared" si="14"/>
        <v>2015.8333246000111</v>
      </c>
      <c r="C266" s="184">
        <v>42278</v>
      </c>
      <c r="D266" s="185">
        <v>10230.096774193549</v>
      </c>
      <c r="E266" s="185">
        <v>2386.1280645161291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724629.96709677426</v>
      </c>
      <c r="K266" s="185">
        <v>495241.04870967742</v>
      </c>
      <c r="L266" s="185">
        <v>85658.413225806449</v>
      </c>
      <c r="M266" s="185">
        <v>19667.453548387097</v>
      </c>
      <c r="N266" s="185">
        <f t="shared" si="19"/>
        <v>1372026.7996774197</v>
      </c>
      <c r="O266" s="185">
        <f t="shared" si="17"/>
        <v>1294666.0900999999</v>
      </c>
      <c r="P266" s="186">
        <f>N266-N265</f>
        <v>305528.93201075285</v>
      </c>
    </row>
    <row r="267" spans="1:16" s="187" customFormat="1" x14ac:dyDescent="0.2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2416.2333333333331</v>
      </c>
      <c r="F267" s="185">
        <v>2855.1</v>
      </c>
      <c r="G267" s="185">
        <v>13881.633333333333</v>
      </c>
      <c r="H267" s="185">
        <v>12016.9</v>
      </c>
      <c r="I267" s="185">
        <v>6130.5666666666666</v>
      </c>
      <c r="J267" s="185">
        <v>703397.93333333335</v>
      </c>
      <c r="K267" s="185">
        <v>491247.8</v>
      </c>
      <c r="L267" s="185">
        <v>94854.566666666666</v>
      </c>
      <c r="M267" s="185">
        <v>16332.566666666668</v>
      </c>
      <c r="N267" s="185">
        <f t="shared" si="19"/>
        <v>1353317.1333333333</v>
      </c>
      <c r="O267" s="185">
        <f t="shared" si="17"/>
        <v>1294666.0900999999</v>
      </c>
      <c r="P267" s="186">
        <f>N267-N266</f>
        <v>-18709.666344086407</v>
      </c>
    </row>
    <row r="268" spans="1:16" s="187" customFormat="1" x14ac:dyDescent="0.2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7175.3870967741932</v>
      </c>
      <c r="J268" s="192">
        <v>658062.03225806449</v>
      </c>
      <c r="K268" s="192">
        <v>529471.93548387091</v>
      </c>
      <c r="L268" s="192">
        <v>74477.419354838712</v>
      </c>
      <c r="M268" s="192">
        <v>19378.290322580644</v>
      </c>
      <c r="N268" s="192">
        <f t="shared" si="19"/>
        <v>1326580.8709677418</v>
      </c>
      <c r="O268" s="192">
        <f t="shared" si="17"/>
        <v>1294666.0900999999</v>
      </c>
      <c r="P268" s="193">
        <f>N268-N267</f>
        <v>-26736.262365591479</v>
      </c>
    </row>
    <row r="269" spans="1:16" x14ac:dyDescent="0.2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10120.903225806451</v>
      </c>
      <c r="I269" s="194">
        <v>7483.4193548387093</v>
      </c>
      <c r="J269" s="194">
        <v>559286.12903225806</v>
      </c>
      <c r="K269" s="194">
        <v>303206.38709677418</v>
      </c>
      <c r="L269" s="194">
        <v>63920.258064516129</v>
      </c>
      <c r="M269" s="194">
        <v>29750.032258064515</v>
      </c>
      <c r="N269" s="194">
        <f t="shared" ref="N269:N278" si="20">+SUM(D269:M269)</f>
        <v>998675.32258064509</v>
      </c>
      <c r="O269" s="220">
        <v>1350904.1949</v>
      </c>
      <c r="P269" s="194">
        <f>N269-N268</f>
        <v>-327905.54838709673</v>
      </c>
    </row>
    <row r="270" spans="1:16" s="5" customFormat="1" ht="13.5" customHeight="1" x14ac:dyDescent="0.25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3109.4482758620688</v>
      </c>
      <c r="G270" s="194">
        <v>13098.068965517241</v>
      </c>
      <c r="H270" s="194">
        <v>8577.0051310344825</v>
      </c>
      <c r="I270" s="194">
        <v>7077.8932999999997</v>
      </c>
      <c r="J270" s="194">
        <v>652481.16996551724</v>
      </c>
      <c r="K270" s="194">
        <v>317178.39746206894</v>
      </c>
      <c r="L270" s="194">
        <v>32485.054548275861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t="shared" ref="P270:P278" si="21">N270-N269</f>
        <v>64550.64622969972</v>
      </c>
    </row>
    <row r="271" spans="1:16" s="5" customFormat="1" x14ac:dyDescent="0.25">
      <c r="A271" s="187"/>
      <c r="B271" s="183">
        <f t="shared" si="14"/>
        <v>2016.2499911000114</v>
      </c>
      <c r="C271" s="219">
        <v>42430</v>
      </c>
      <c r="D271" s="194">
        <v>8281.8064516129034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7185.5603516129031</v>
      </c>
      <c r="J271" s="194">
        <v>637085.91187741933</v>
      </c>
      <c r="K271" s="194">
        <v>511111.62507096777</v>
      </c>
      <c r="L271" s="194">
        <v>91207.169709677415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x14ac:dyDescent="0.25">
      <c r="A272" s="187"/>
      <c r="B272" s="183">
        <f t="shared" si="14"/>
        <v>2016.3333244000114</v>
      </c>
      <c r="C272" s="219">
        <v>42461</v>
      </c>
      <c r="D272" s="194">
        <v>7452.2666666666664</v>
      </c>
      <c r="E272" s="194">
        <v>2188.4666666666667</v>
      </c>
      <c r="F272" s="194">
        <v>3042.6</v>
      </c>
      <c r="G272" s="194">
        <v>13807.9</v>
      </c>
      <c r="H272" s="194">
        <v>10368.200000000001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1313613.8666666669</v>
      </c>
      <c r="O272" s="218">
        <f>+O271</f>
        <v>1350904.1949</v>
      </c>
      <c r="P272" s="194">
        <f t="shared" si="21"/>
        <v>15794.193289247574</v>
      </c>
    </row>
    <row r="273" spans="1:18" x14ac:dyDescent="0.25">
      <c r="A273" s="187"/>
      <c r="B273" s="183">
        <f t="shared" si="14"/>
        <v>2016.4166577000115</v>
      </c>
      <c r="C273" s="219">
        <v>42491</v>
      </c>
      <c r="D273" s="194">
        <v>7816.7419354838712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8919.9354838709678</v>
      </c>
      <c r="I273" s="194">
        <v>6482.4516129032254</v>
      </c>
      <c r="J273" s="194">
        <v>739284.67741935479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t="shared" ref="O273:O279" si="22">+O272</f>
        <v>1350904.1949</v>
      </c>
      <c r="P273" s="194">
        <f t="shared" si="21"/>
        <v>132914.29462365573</v>
      </c>
    </row>
    <row r="274" spans="1:18" x14ac:dyDescent="0.2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329147.03333333333</v>
      </c>
      <c r="L274" s="194">
        <v>143244.43333333332</v>
      </c>
      <c r="M274" s="194">
        <v>24832.400000000001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-120439.19462365611</v>
      </c>
      <c r="R274" s="4"/>
    </row>
    <row r="275" spans="1:18" x14ac:dyDescent="0.25">
      <c r="A275" s="187"/>
      <c r="B275" s="183">
        <f t="shared" si="14"/>
        <v>2016.5833243000116</v>
      </c>
      <c r="C275" s="219">
        <v>42552</v>
      </c>
      <c r="D275" s="194">
        <v>7704.1290322580644</v>
      </c>
      <c r="E275" s="194">
        <v>2297.9354838709678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8421.5161290322576</v>
      </c>
      <c r="J275" s="194">
        <v>792049.48387096776</v>
      </c>
      <c r="K275" s="194">
        <v>480176.19354838709</v>
      </c>
      <c r="L275" s="194">
        <v>182516.51612903227</v>
      </c>
      <c r="M275" s="194">
        <v>8831.6129032258068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8" x14ac:dyDescent="0.25">
      <c r="A276" s="187"/>
      <c r="B276" s="183">
        <f t="shared" si="14"/>
        <v>2016.6666576000116</v>
      </c>
      <c r="C276" s="219">
        <v>42583</v>
      </c>
      <c r="D276" s="194">
        <v>8428.8064516129034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7914.0951677419353</v>
      </c>
      <c r="J276" s="194">
        <v>754020.01422258071</v>
      </c>
      <c r="K276" s="194">
        <v>478459.91600322578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8" x14ac:dyDescent="0.25">
      <c r="A277" s="187"/>
      <c r="B277" s="183">
        <f t="shared" si="14"/>
        <v>2016.7499909000117</v>
      </c>
      <c r="C277" s="219">
        <v>42614</v>
      </c>
      <c r="D277" s="194">
        <v>8989.5666666666675</v>
      </c>
      <c r="E277" s="194">
        <v>2683.4080200000003</v>
      </c>
      <c r="F277" s="194">
        <v>3036.2666666666669</v>
      </c>
      <c r="G277" s="194">
        <v>15015.933333333332</v>
      </c>
      <c r="H277" s="194">
        <v>9905.5259000000005</v>
      </c>
      <c r="I277" s="194">
        <v>8128.5949266666667</v>
      </c>
      <c r="J277" s="194">
        <v>678021.24197333329</v>
      </c>
      <c r="K277" s="194">
        <v>501939.91141</v>
      </c>
      <c r="L277" s="194">
        <v>158650.46111999999</v>
      </c>
      <c r="M277" s="194">
        <v>4629.1428333333333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-77104.471740322653</v>
      </c>
    </row>
    <row r="278" spans="1:18" x14ac:dyDescent="0.25">
      <c r="A278" s="187"/>
      <c r="B278" s="183">
        <f t="shared" si="14"/>
        <v>2016.8333242000117</v>
      </c>
      <c r="C278" s="219">
        <v>42644</v>
      </c>
      <c r="D278" s="194">
        <v>8977.0645161290322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8450.0814580645165</v>
      </c>
      <c r="J278" s="194">
        <v>701969.90909677418</v>
      </c>
      <c r="K278" s="194">
        <v>481197.28746451612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8" x14ac:dyDescent="0.25">
      <c r="A279" s="187"/>
      <c r="B279" s="183">
        <f t="shared" si="14"/>
        <v>2016.9166575000118</v>
      </c>
      <c r="C279" s="219">
        <v>42675</v>
      </c>
      <c r="D279" s="194">
        <v>8435.1333333333332</v>
      </c>
      <c r="E279" s="194">
        <v>2718.0299799999998</v>
      </c>
      <c r="F279" s="194">
        <v>3281.8666666666668</v>
      </c>
      <c r="G279" s="194">
        <v>15555.366666666667</v>
      </c>
      <c r="H279" s="194">
        <v>10897.418966666668</v>
      </c>
      <c r="I279" s="194">
        <v>7918.9320366666661</v>
      </c>
      <c r="J279" s="194">
        <v>808606.64685999998</v>
      </c>
      <c r="K279" s="194">
        <v>509275.32376999996</v>
      </c>
      <c r="L279" s="194">
        <v>161531.01057333333</v>
      </c>
      <c r="M279" s="194">
        <v>6048.9571699999997</v>
      </c>
      <c r="N279" s="194">
        <f>+SUM(D279:M279)</f>
        <v>1534268.6860233333</v>
      </c>
      <c r="O279" s="217">
        <f t="shared" si="22"/>
        <v>1350904.1949</v>
      </c>
      <c r="P279" s="194">
        <f t="shared" ref="P279:P292" si="23">N279-N278</f>
        <v>134172.25368784973</v>
      </c>
    </row>
    <row r="280" spans="1:18" x14ac:dyDescent="0.25">
      <c r="A280" s="187"/>
      <c r="B280" s="183">
        <f t="shared" si="14"/>
        <v>2016.9999908000118</v>
      </c>
      <c r="C280" s="219">
        <v>42705</v>
      </c>
      <c r="D280" s="194">
        <v>8295.8387096774186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7486.5774483870973</v>
      </c>
      <c r="J280" s="194">
        <v>739194.30818709685</v>
      </c>
      <c r="K280" s="194">
        <v>507609.01470322581</v>
      </c>
      <c r="L280" s="194">
        <v>150716.28651935485</v>
      </c>
      <c r="M280" s="194">
        <v>81.387096774193552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-88566.907255591126</v>
      </c>
    </row>
    <row r="281" spans="1:18" s="131" customFormat="1" x14ac:dyDescent="0.2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2307.0643870967742</v>
      </c>
      <c r="F281" s="128">
        <v>1692.4193548387098</v>
      </c>
      <c r="G281" s="128">
        <v>15207.741935483871</v>
      </c>
      <c r="H281" s="128">
        <v>8632.1529193548395</v>
      </c>
      <c r="I281" s="128">
        <v>5948.6907419354839</v>
      </c>
      <c r="J281" s="128">
        <v>568811.69746774191</v>
      </c>
      <c r="K281" s="128">
        <v>449599.37859032262</v>
      </c>
      <c r="L281" s="128">
        <v>163866.58614838708</v>
      </c>
      <c r="M281" s="128">
        <v>116.11440967740999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1:18" s="5" customFormat="1" x14ac:dyDescent="0.25">
      <c r="B282" s="125">
        <f t="shared" si="14"/>
        <v>2017.1666574000119</v>
      </c>
      <c r="C282" s="132">
        <v>42767</v>
      </c>
      <c r="E282" s="81"/>
      <c r="N282" s="128">
        <v>1177591.9728999999</v>
      </c>
      <c r="O282" s="128">
        <f>+O281</f>
        <v>1245812.264</v>
      </c>
      <c r="P282" s="128">
        <f t="shared" si="23"/>
        <v>-45922.550474193646</v>
      </c>
    </row>
    <row r="283" spans="1:18" s="5" customFormat="1" x14ac:dyDescent="0.25">
      <c r="B283" s="125">
        <f t="shared" si="14"/>
        <v>2017.2499907000119</v>
      </c>
      <c r="C283" s="132">
        <v>42795</v>
      </c>
      <c r="N283" s="128">
        <v>1204775.2013000001</v>
      </c>
      <c r="O283" s="128">
        <f t="shared" ref="O283:O292" si="24">+O282</f>
        <v>1245812.264</v>
      </c>
      <c r="P283" s="128">
        <f t="shared" si="23"/>
        <v>27183.228400000138</v>
      </c>
    </row>
    <row r="284" spans="1:18" s="5" customFormat="1" x14ac:dyDescent="0.2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-61681.494600000093</v>
      </c>
    </row>
    <row r="285" spans="1:18" x14ac:dyDescent="0.2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1:18" x14ac:dyDescent="0.25">
      <c r="B286" s="125">
        <f t="shared" si="14"/>
        <v>2017.4999906000121</v>
      </c>
      <c r="C286" s="132">
        <v>42887</v>
      </c>
      <c r="D286"/>
      <c r="E286"/>
      <c r="F286"/>
      <c r="N286" s="128">
        <v>1263196.8907000001</v>
      </c>
      <c r="O286" s="128">
        <f t="shared" si="24"/>
        <v>1245812.264</v>
      </c>
      <c r="P286" s="128">
        <f>N286-N285</f>
        <v>102673.25130000012</v>
      </c>
    </row>
    <row r="287" spans="1:18" x14ac:dyDescent="0.2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1:18" x14ac:dyDescent="0.2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1370849.5386000001</v>
      </c>
      <c r="O288" s="128">
        <f t="shared" si="24"/>
        <v>1245812.264</v>
      </c>
      <c r="P288" s="128">
        <f t="shared" si="23"/>
        <v>210108.55300000007</v>
      </c>
    </row>
    <row r="289" spans="2:18" x14ac:dyDescent="0.2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-97453.848200000124</v>
      </c>
    </row>
    <row r="290" spans="2:18" x14ac:dyDescent="0.2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1344459.2986000001</v>
      </c>
      <c r="O290" s="128">
        <f t="shared" si="24"/>
        <v>1245812.264</v>
      </c>
      <c r="P290" s="128">
        <f>N290-N289</f>
        <v>71063.608200000133</v>
      </c>
    </row>
    <row r="291" spans="2:18" x14ac:dyDescent="0.2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1377579.1163999999</v>
      </c>
      <c r="O291" s="128">
        <f>+O290</f>
        <v>1245812.264</v>
      </c>
      <c r="P291" s="128">
        <f>N291-N290</f>
        <v>33119.817799999844</v>
      </c>
    </row>
    <row r="292" spans="2:18" x14ac:dyDescent="0.2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1320929.9458000001</v>
      </c>
      <c r="O292" s="128">
        <f t="shared" si="24"/>
        <v>1245812.264</v>
      </c>
      <c r="P292" s="128">
        <f t="shared" si="23"/>
        <v>-56649.170599999838</v>
      </c>
    </row>
    <row r="293" spans="2:18" x14ac:dyDescent="0.2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1197245.8237000001</v>
      </c>
      <c r="P293" s="245">
        <f t="shared" ref="P293:P303" si="25">N293-N292</f>
        <v>-181603.56410000008</v>
      </c>
    </row>
    <row r="294" spans="2:18" x14ac:dyDescent="0.2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849299.34869999997</v>
      </c>
      <c r="O294" s="244">
        <f t="shared" ref="O294:O304" si="26">+O293</f>
        <v>1197245.8237000001</v>
      </c>
      <c r="P294" s="245">
        <f t="shared" si="25"/>
        <v>-290027.03300000005</v>
      </c>
    </row>
    <row r="295" spans="2:18" x14ac:dyDescent="0.2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1163361.3285000001</v>
      </c>
      <c r="O295" s="244">
        <f t="shared" si="26"/>
        <v>1197245.8237000001</v>
      </c>
      <c r="P295" s="245">
        <f t="shared" si="25"/>
        <v>314061.97980000009</v>
      </c>
    </row>
    <row r="296" spans="2:18" x14ac:dyDescent="0.2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1197245.8237000001</v>
      </c>
      <c r="P296" s="245">
        <f t="shared" si="25"/>
        <v>54717.671499999939</v>
      </c>
    </row>
    <row r="297" spans="2:18" x14ac:dyDescent="0.2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1295738.0527999999</v>
      </c>
      <c r="O297" s="244">
        <f t="shared" si="26"/>
        <v>1197245.8237000001</v>
      </c>
      <c r="P297" s="245">
        <f t="shared" si="25"/>
        <v>77659.052799999947</v>
      </c>
    </row>
    <row r="298" spans="2:18" x14ac:dyDescent="0.2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1197245.8237000001</v>
      </c>
      <c r="P298" s="245">
        <f t="shared" si="25"/>
        <v>107746.53750000009</v>
      </c>
    </row>
    <row r="299" spans="2:18" x14ac:dyDescent="0.2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1197245.8237000001</v>
      </c>
      <c r="P299" s="245">
        <f t="shared" si="25"/>
        <v>-102755.38280000002</v>
      </c>
    </row>
    <row r="300" spans="2:18" x14ac:dyDescent="0.2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953869.47360000003</v>
      </c>
      <c r="O300" s="244">
        <f t="shared" si="26"/>
        <v>1197245.8237000001</v>
      </c>
      <c r="P300" s="245">
        <f t="shared" si="25"/>
        <v>-346859.73389999999</v>
      </c>
    </row>
    <row r="301" spans="2:18" x14ac:dyDescent="0.2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1432568.3633000001</v>
      </c>
      <c r="O301" s="244">
        <f t="shared" si="26"/>
        <v>1197245.8237000001</v>
      </c>
      <c r="P301" s="245">
        <f t="shared" si="25"/>
        <v>478698.88970000006</v>
      </c>
    </row>
    <row r="302" spans="2:18" x14ac:dyDescent="0.25">
      <c r="B302" s="243">
        <f t="shared" si="14"/>
        <v>2018.8333234000129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1197245.8237000001</v>
      </c>
      <c r="P302" s="245">
        <f t="shared" si="25"/>
        <v>-226925.71830000007</v>
      </c>
    </row>
    <row r="303" spans="2:18" x14ac:dyDescent="0.25">
      <c r="B303" s="243">
        <f t="shared" si="14"/>
        <v>2018.9166567000129</v>
      </c>
      <c r="C303" s="132">
        <v>43405</v>
      </c>
      <c r="D303"/>
      <c r="E303" s="20"/>
      <c r="F303" s="20"/>
      <c r="N303" s="266">
        <v>1374884.0149000001</v>
      </c>
      <c r="O303" s="244">
        <f t="shared" si="26"/>
        <v>1197245.8237000001</v>
      </c>
      <c r="P303" s="245">
        <f t="shared" si="25"/>
        <v>169241.36990000005</v>
      </c>
    </row>
    <row r="304" spans="2:18" x14ac:dyDescent="0.2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1412080.9691999999</v>
      </c>
      <c r="O304" s="244">
        <f t="shared" si="26"/>
        <v>1197245.8237000001</v>
      </c>
      <c r="P304" s="245">
        <f t="shared" ref="P304:P311" si="27">N304-N303</f>
        <v>37196.954299999867</v>
      </c>
      <c r="R304">
        <v>38899678.891099997</v>
      </c>
    </row>
    <row r="305" spans="2:18" x14ac:dyDescent="0.2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1299273.6229000001</v>
      </c>
      <c r="P305" s="275">
        <f t="shared" si="27"/>
        <v>-96134.350899999961</v>
      </c>
      <c r="R305">
        <f>+R304/31</f>
        <v>1254828.3513258065</v>
      </c>
    </row>
    <row r="306" spans="2:18" x14ac:dyDescent="0.25">
      <c r="B306" s="273">
        <f t="shared" si="14"/>
        <v>2019.1666566000131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1299273.6229000001</v>
      </c>
      <c r="P306" s="275">
        <f t="shared" si="27"/>
        <v>-51787.264699999942</v>
      </c>
    </row>
    <row r="307" spans="2:18" x14ac:dyDescent="0.2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1299273.6229000001</v>
      </c>
      <c r="P307" s="275">
        <f t="shared" si="27"/>
        <v>-69433.645400000038</v>
      </c>
      <c r="R307">
        <v>44722640.773100004</v>
      </c>
    </row>
    <row r="308" spans="2:18" x14ac:dyDescent="0.2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1299273.6229000001</v>
      </c>
      <c r="P308" s="275">
        <f t="shared" si="27"/>
        <v>-75639.937799999956</v>
      </c>
      <c r="R308">
        <v>30</v>
      </c>
    </row>
    <row r="309" spans="2:18" x14ac:dyDescent="0.25">
      <c r="B309" s="273">
        <f t="shared" ref="B309:B317" si="28">+B308+0.0833333</f>
        <v>2019.4166565000132</v>
      </c>
      <c r="C309" s="274">
        <v>43586</v>
      </c>
      <c r="D309"/>
      <c r="E309" s="20"/>
      <c r="F309" s="20"/>
      <c r="N309" s="271">
        <v>1085771.1066000001</v>
      </c>
      <c r="O309" s="271">
        <v>1299273.6229000001</v>
      </c>
      <c r="P309" s="275">
        <f t="shared" si="27"/>
        <v>-33314.66379999998</v>
      </c>
    </row>
    <row r="310" spans="2:18" x14ac:dyDescent="0.25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1121341.1847999999</v>
      </c>
      <c r="O310" s="271">
        <v>1299273.6229000001</v>
      </c>
      <c r="P310" s="275">
        <f t="shared" si="27"/>
        <v>35570.078199999873</v>
      </c>
    </row>
    <row r="311" spans="2:18" x14ac:dyDescent="0.25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1340583.2339999999</v>
      </c>
      <c r="O311" s="271">
        <v>1299273.6229000001</v>
      </c>
      <c r="P311" s="275">
        <f t="shared" si="27"/>
        <v>219242.04920000001</v>
      </c>
    </row>
    <row r="312" spans="2:18" x14ac:dyDescent="0.25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1509143.8178999999</v>
      </c>
      <c r="O312" s="271">
        <v>1299273.6229000001</v>
      </c>
      <c r="P312" s="275">
        <f t="shared" ref="P312:P317" si="29">N312-N311</f>
        <v>168560.58389999997</v>
      </c>
    </row>
    <row r="313" spans="2:18" x14ac:dyDescent="0.25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1299273.6229000001</v>
      </c>
      <c r="P313" s="275">
        <f t="shared" si="29"/>
        <v>46816.437200000044</v>
      </c>
      <c r="Q313">
        <f>+R307/R308</f>
        <v>1490754.6924366667</v>
      </c>
    </row>
    <row r="314" spans="2:18" x14ac:dyDescent="0.25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1299273.6229000001</v>
      </c>
      <c r="P314" s="275">
        <f t="shared" si="29"/>
        <v>-136508.62419999996</v>
      </c>
    </row>
    <row r="315" spans="2:18" x14ac:dyDescent="0.25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1299273.6229000001</v>
      </c>
      <c r="P315" s="275">
        <f t="shared" si="29"/>
        <v>-1081.6903999999631</v>
      </c>
    </row>
    <row r="316" spans="2:18" x14ac:dyDescent="0.25">
      <c r="B316" s="273">
        <f t="shared" si="28"/>
        <v>2019.9999896000136</v>
      </c>
      <c r="C316" s="274">
        <v>43800</v>
      </c>
      <c r="D316"/>
      <c r="E316" s="20"/>
      <c r="F316" s="20"/>
      <c r="N316" s="277">
        <v>1243898</v>
      </c>
      <c r="O316" s="283">
        <v>1299273.6229000001</v>
      </c>
      <c r="P316" s="275">
        <f t="shared" si="29"/>
        <v>-174471.94050000003</v>
      </c>
    </row>
    <row r="317" spans="2:18" x14ac:dyDescent="0.25">
      <c r="B317" s="243">
        <f t="shared" si="28"/>
        <v>2020.0833229000136</v>
      </c>
      <c r="C317" s="132">
        <v>43831</v>
      </c>
      <c r="D317"/>
      <c r="E317" s="20"/>
      <c r="F317" s="20"/>
      <c r="N317" s="128">
        <v>1211720.6916</v>
      </c>
      <c r="O317" s="128">
        <v>1160730.4550000001</v>
      </c>
      <c r="P317" s="282">
        <f t="shared" si="29"/>
        <v>-32177.30839999998</v>
      </c>
    </row>
    <row r="318" spans="2:18" x14ac:dyDescent="0.25">
      <c r="B318" s="243">
        <f t="shared" ref="B318:B323" si="30">+B317+0.0833333</f>
        <v>2020.1666562000137</v>
      </c>
      <c r="C318" s="132">
        <v>43862</v>
      </c>
      <c r="D318"/>
      <c r="E318" s="20"/>
      <c r="F318" s="20"/>
      <c r="N318" s="128">
        <v>1249771.6869000001</v>
      </c>
      <c r="O318" s="128">
        <v>1160730.4550000001</v>
      </c>
      <c r="P318" s="282">
        <f t="shared" ref="P318:P323" si="31">N318-N317</f>
        <v>38050.995300000068</v>
      </c>
    </row>
    <row r="319" spans="2:18" x14ac:dyDescent="0.25">
      <c r="B319" s="243">
        <f t="shared" si="30"/>
        <v>2020.2499895000137</v>
      </c>
      <c r="C319" s="132">
        <v>43891</v>
      </c>
      <c r="D319"/>
      <c r="E319" s="20"/>
      <c r="F319" s="20"/>
      <c r="N319" s="128">
        <v>903310.04</v>
      </c>
      <c r="O319" s="128">
        <v>1160730.4550000001</v>
      </c>
      <c r="P319" s="282">
        <f t="shared" si="31"/>
        <v>-346461.64690000005</v>
      </c>
    </row>
    <row r="320" spans="2:18" x14ac:dyDescent="0.25">
      <c r="B320" s="243">
        <f t="shared" si="30"/>
        <v>2020.3333228000138</v>
      </c>
      <c r="C320" s="132">
        <v>43922</v>
      </c>
      <c r="D320"/>
      <c r="E320" s="20"/>
      <c r="F320" s="20"/>
      <c r="N320" s="128">
        <v>790178.82979999995</v>
      </c>
      <c r="O320" s="128">
        <v>1160730.4550000001</v>
      </c>
      <c r="P320" s="282">
        <f t="shared" si="31"/>
        <v>-113131.21020000009</v>
      </c>
    </row>
    <row r="321" spans="2:18" x14ac:dyDescent="0.25">
      <c r="B321" s="243">
        <f t="shared" si="30"/>
        <v>2020.4166561000138</v>
      </c>
      <c r="C321" s="132">
        <v>43952</v>
      </c>
      <c r="D321"/>
      <c r="E321" s="20"/>
      <c r="F321" s="20"/>
      <c r="N321" s="128">
        <v>845915.21279999998</v>
      </c>
      <c r="O321" s="128">
        <v>1160730.4550000001</v>
      </c>
      <c r="P321" s="282">
        <f t="shared" si="31"/>
        <v>55736.383000000031</v>
      </c>
    </row>
    <row r="322" spans="2:18" x14ac:dyDescent="0.25">
      <c r="B322" s="243">
        <f t="shared" si="30"/>
        <v>2020.4999894000139</v>
      </c>
      <c r="C322" s="132">
        <v>43983</v>
      </c>
      <c r="D322"/>
      <c r="E322" s="20"/>
      <c r="F322" s="20"/>
      <c r="N322" s="128">
        <v>832774.50080000004</v>
      </c>
      <c r="O322" s="128">
        <v>1160730.4550000001</v>
      </c>
      <c r="P322" s="282">
        <f t="shared" si="31"/>
        <v>-13140.711999999941</v>
      </c>
    </row>
    <row r="323" spans="2:18" x14ac:dyDescent="0.25">
      <c r="B323" s="243">
        <f t="shared" si="30"/>
        <v>2020.5833227000139</v>
      </c>
      <c r="C323" s="132">
        <v>44013</v>
      </c>
      <c r="D323"/>
      <c r="E323" s="20"/>
      <c r="F323" s="20"/>
      <c r="N323" s="128">
        <v>1346101.4935000001</v>
      </c>
      <c r="O323" s="128">
        <v>1160730.4550000001</v>
      </c>
      <c r="P323" s="282">
        <f t="shared" si="31"/>
        <v>513326.99270000006</v>
      </c>
    </row>
    <row r="324" spans="2:18" x14ac:dyDescent="0.25">
      <c r="B324" s="243">
        <f>+B323+0.0833333</f>
        <v>2020.666656000014</v>
      </c>
      <c r="C324" s="132">
        <v>44044</v>
      </c>
      <c r="D324"/>
      <c r="E324" s="20"/>
      <c r="F324" s="20"/>
      <c r="N324" s="128">
        <v>1298655.1540000001</v>
      </c>
      <c r="O324" s="128">
        <v>1160730.4550000001</v>
      </c>
      <c r="P324" s="282">
        <f>N324-N323</f>
        <v>-47446.339500000002</v>
      </c>
    </row>
    <row r="325" spans="2:18" x14ac:dyDescent="0.25">
      <c r="B325" s="243">
        <f>+B324+0.0833333</f>
        <v>2020.749989300014</v>
      </c>
      <c r="C325" s="132">
        <v>44075</v>
      </c>
      <c r="D325"/>
      <c r="E325" s="20"/>
      <c r="F325" s="20"/>
      <c r="N325" s="128">
        <v>1342976.2357000001</v>
      </c>
      <c r="O325" s="128">
        <v>1160730.4550000001</v>
      </c>
      <c r="P325" s="282">
        <f>N325-N324</f>
        <v>44321.081699999981</v>
      </c>
    </row>
    <row r="326" spans="2:18" x14ac:dyDescent="0.25">
      <c r="B326" s="243">
        <f>+B325+0.0833333</f>
        <v>2020.8333226000141</v>
      </c>
      <c r="C326" s="132">
        <v>44105</v>
      </c>
      <c r="D326"/>
      <c r="E326" s="20"/>
      <c r="F326" s="20"/>
      <c r="N326" s="128">
        <v>1254828.3513</v>
      </c>
      <c r="O326" s="128">
        <v>1160730.4550000001</v>
      </c>
      <c r="P326" s="282">
        <f>N326-N325</f>
        <v>-88147.884400000097</v>
      </c>
    </row>
    <row r="327" spans="2:18" x14ac:dyDescent="0.25">
      <c r="B327" s="243">
        <f>+B326+0.0833333</f>
        <v>2020.9166559000141</v>
      </c>
      <c r="C327" s="132">
        <v>44136</v>
      </c>
      <c r="D327"/>
      <c r="E327" s="20"/>
      <c r="F327" s="20"/>
      <c r="N327" s="128">
        <v>1490754.6924000001</v>
      </c>
      <c r="O327" s="128">
        <v>1160730.4550000001</v>
      </c>
      <c r="P327" s="282">
        <f>N327-N326</f>
        <v>235926.34110000008</v>
      </c>
    </row>
    <row r="328" spans="2:18" x14ac:dyDescent="0.25">
      <c r="B328" s="243">
        <f>+B327+0.0833333</f>
        <v>2020.9999892000142</v>
      </c>
      <c r="C328" s="132">
        <v>44166</v>
      </c>
      <c r="D328"/>
      <c r="E328" s="20"/>
      <c r="F328" s="20"/>
      <c r="N328" s="128">
        <v>1361515.5016000001</v>
      </c>
      <c r="O328" s="128">
        <v>1160730.4550000001</v>
      </c>
      <c r="P328" s="282">
        <f>N328-N327</f>
        <v>-129239.19079999998</v>
      </c>
    </row>
    <row r="329" spans="2:18" x14ac:dyDescent="0.25">
      <c r="B329" s="287">
        <f t="shared" ref="B329:B340" si="32">+B328+0.0833333</f>
        <v>2021.0833225000142</v>
      </c>
      <c r="C329" s="288">
        <v>44197</v>
      </c>
      <c r="D329" s="285"/>
      <c r="E329" s="285"/>
      <c r="F329" s="285"/>
      <c r="G329" s="285"/>
      <c r="H329" s="285"/>
      <c r="I329" s="285"/>
      <c r="J329" s="285"/>
      <c r="K329" s="285"/>
      <c r="L329" s="285"/>
      <c r="M329" s="285"/>
      <c r="N329" s="293">
        <v>1150031.7105</v>
      </c>
      <c r="O329" s="293">
        <v>1041038.601</v>
      </c>
      <c r="P329" s="292">
        <f t="shared" ref="P329:P338" si="33">+N329-N328</f>
        <v>-211483.79110000003</v>
      </c>
    </row>
    <row r="330" spans="2:18" x14ac:dyDescent="0.25">
      <c r="B330" s="287">
        <f t="shared" si="32"/>
        <v>2021.1666558000143</v>
      </c>
      <c r="C330" s="288">
        <v>44228</v>
      </c>
      <c r="D330" s="285"/>
      <c r="E330" s="285"/>
      <c r="F330" s="285"/>
      <c r="G330" s="285"/>
      <c r="H330" s="285"/>
      <c r="I330" s="285"/>
      <c r="J330" s="285"/>
      <c r="K330" s="285"/>
      <c r="L330" s="285"/>
      <c r="M330" s="285"/>
      <c r="N330" s="293">
        <v>1172289.7331000001</v>
      </c>
      <c r="O330" s="293">
        <f>+O329</f>
        <v>1041038.601</v>
      </c>
      <c r="P330" s="292">
        <f t="shared" si="33"/>
        <v>22258.022600000026</v>
      </c>
      <c r="R330" s="289"/>
    </row>
    <row r="331" spans="2:18" x14ac:dyDescent="0.25">
      <c r="B331" s="287">
        <f t="shared" si="32"/>
        <v>2021.2499891000143</v>
      </c>
      <c r="C331" s="288">
        <v>44256</v>
      </c>
      <c r="D331" s="285"/>
      <c r="E331" s="285"/>
      <c r="F331" s="285"/>
      <c r="G331" s="285"/>
      <c r="H331" s="285"/>
      <c r="I331" s="285"/>
      <c r="J331" s="285"/>
      <c r="K331" s="285"/>
      <c r="L331" s="285"/>
      <c r="M331" s="285"/>
      <c r="N331" s="293">
        <v>1067744.5911999999</v>
      </c>
      <c r="O331" s="293">
        <f>+O330</f>
        <v>1041038.601</v>
      </c>
      <c r="P331" s="292">
        <f t="shared" si="33"/>
        <v>-104545.14190000016</v>
      </c>
    </row>
    <row r="332" spans="2:18" x14ac:dyDescent="0.25">
      <c r="B332" s="287">
        <f t="shared" si="32"/>
        <v>2021.3333224000144</v>
      </c>
      <c r="C332" s="288">
        <v>44287</v>
      </c>
      <c r="D332" s="285"/>
      <c r="E332" s="285"/>
      <c r="F332" s="285"/>
      <c r="G332" s="285"/>
      <c r="H332" s="285"/>
      <c r="I332" s="285"/>
      <c r="J332" s="285"/>
      <c r="K332" s="285"/>
      <c r="L332" s="285"/>
      <c r="M332" s="285"/>
      <c r="N332" s="293">
        <v>871274.07209999999</v>
      </c>
      <c r="O332" s="293">
        <f>+O331</f>
        <v>1041038.601</v>
      </c>
      <c r="P332" s="292">
        <f t="shared" si="33"/>
        <v>-196470.51909999992</v>
      </c>
    </row>
    <row r="333" spans="2:18" x14ac:dyDescent="0.25">
      <c r="B333" s="287">
        <f t="shared" si="32"/>
        <v>2021.4166557000144</v>
      </c>
      <c r="C333" s="288">
        <v>44317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93">
        <v>780865.31420000002</v>
      </c>
      <c r="O333" s="293">
        <f t="shared" ref="O333:O340" si="34">+O332</f>
        <v>1041038.601</v>
      </c>
      <c r="P333" s="292">
        <f t="shared" si="33"/>
        <v>-90408.757899999968</v>
      </c>
    </row>
    <row r="334" spans="2:18" x14ac:dyDescent="0.25">
      <c r="B334" s="287">
        <f t="shared" si="32"/>
        <v>2021.4999890000145</v>
      </c>
      <c r="C334" s="288">
        <v>44348</v>
      </c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93">
        <v>1068128.4027199999</v>
      </c>
      <c r="O334" s="293">
        <f t="shared" si="34"/>
        <v>1041038.601</v>
      </c>
      <c r="P334" s="292">
        <f t="shared" si="33"/>
        <v>287263.08851999987</v>
      </c>
    </row>
    <row r="335" spans="2:18" x14ac:dyDescent="0.25">
      <c r="B335" s="287">
        <f t="shared" si="32"/>
        <v>2021.5833223000145</v>
      </c>
      <c r="C335" s="288">
        <v>44378</v>
      </c>
      <c r="D335" s="285"/>
      <c r="E335" s="285"/>
      <c r="F335" s="285"/>
      <c r="G335" s="285"/>
      <c r="H335" s="285"/>
      <c r="I335" s="285"/>
      <c r="J335" s="285"/>
      <c r="K335" s="285"/>
      <c r="L335" s="285"/>
      <c r="M335" s="285"/>
      <c r="N335" s="293">
        <v>823834.10470000003</v>
      </c>
      <c r="O335" s="293">
        <f t="shared" si="34"/>
        <v>1041038.601</v>
      </c>
      <c r="P335" s="292">
        <f t="shared" si="33"/>
        <v>-244294.29801999987</v>
      </c>
    </row>
    <row r="336" spans="2:18" x14ac:dyDescent="0.25">
      <c r="B336" s="287">
        <f t="shared" si="32"/>
        <v>2021.6666556000146</v>
      </c>
      <c r="C336" s="288">
        <v>44409</v>
      </c>
      <c r="D336" s="285"/>
      <c r="E336" s="285"/>
      <c r="F336" s="285"/>
      <c r="G336" s="285"/>
      <c r="H336" s="285"/>
      <c r="I336" s="285"/>
      <c r="J336" s="285"/>
      <c r="K336" s="285"/>
      <c r="L336" s="285"/>
      <c r="M336" s="285"/>
      <c r="N336" s="293">
        <v>850929.25430000003</v>
      </c>
      <c r="O336" s="293">
        <f t="shared" si="34"/>
        <v>1041038.601</v>
      </c>
      <c r="P336" s="292">
        <f t="shared" si="33"/>
        <v>27095.149600000004</v>
      </c>
    </row>
    <row r="337" spans="2:16" x14ac:dyDescent="0.25">
      <c r="B337" s="287">
        <f t="shared" si="32"/>
        <v>2021.7499889000146</v>
      </c>
      <c r="C337" s="288">
        <v>44440</v>
      </c>
      <c r="D337" s="285"/>
      <c r="E337" s="285"/>
      <c r="F337" s="285"/>
      <c r="G337" s="285"/>
      <c r="H337" s="285"/>
      <c r="I337" s="285"/>
      <c r="J337" s="285"/>
      <c r="K337" s="285"/>
      <c r="L337" s="285"/>
      <c r="M337" s="285"/>
      <c r="N337" s="293">
        <v>1273570.5607</v>
      </c>
      <c r="O337" s="293">
        <f t="shared" si="34"/>
        <v>1041038.601</v>
      </c>
      <c r="P337" s="292">
        <f t="shared" si="33"/>
        <v>422641.3064</v>
      </c>
    </row>
    <row r="338" spans="2:16" x14ac:dyDescent="0.25">
      <c r="B338" s="287">
        <f t="shared" si="32"/>
        <v>2021.8333222000147</v>
      </c>
      <c r="C338" s="288">
        <v>44470</v>
      </c>
      <c r="D338" s="285"/>
      <c r="E338" s="285"/>
      <c r="F338" s="285"/>
      <c r="G338" s="285"/>
      <c r="H338" s="285"/>
      <c r="I338" s="285"/>
      <c r="J338" s="285"/>
      <c r="K338" s="285"/>
      <c r="L338" s="285"/>
      <c r="M338" s="285"/>
      <c r="N338" s="293">
        <v>1367318.6091</v>
      </c>
      <c r="O338" s="293">
        <f t="shared" si="34"/>
        <v>1041038.601</v>
      </c>
      <c r="P338" s="292">
        <f t="shared" si="33"/>
        <v>93748.048399999971</v>
      </c>
    </row>
    <row r="339" spans="2:16" x14ac:dyDescent="0.25">
      <c r="B339" s="287">
        <f t="shared" si="32"/>
        <v>2021.9166555000147</v>
      </c>
      <c r="C339" s="288">
        <v>44501</v>
      </c>
      <c r="D339" s="285"/>
      <c r="E339" s="285"/>
      <c r="F339" s="285"/>
      <c r="G339" s="285"/>
      <c r="H339" s="285"/>
      <c r="I339" s="285"/>
      <c r="J339" s="285"/>
      <c r="K339" s="285"/>
      <c r="L339" s="285"/>
      <c r="M339" s="285"/>
      <c r="N339" s="285"/>
      <c r="O339" s="293">
        <f t="shared" si="34"/>
        <v>1041038.601</v>
      </c>
      <c r="P339" s="285"/>
    </row>
    <row r="340" spans="2:16" x14ac:dyDescent="0.25">
      <c r="B340" s="287">
        <f t="shared" si="32"/>
        <v>2021.9999888000148</v>
      </c>
      <c r="C340" s="288">
        <v>44531</v>
      </c>
      <c r="D340" s="285"/>
      <c r="E340" s="285"/>
      <c r="F340" s="285"/>
      <c r="G340" s="285"/>
      <c r="H340" s="285"/>
      <c r="I340" s="285"/>
      <c r="J340" s="285"/>
      <c r="K340" s="285"/>
      <c r="L340" s="285"/>
      <c r="M340" s="285"/>
      <c r="N340" s="285"/>
      <c r="O340" s="293">
        <f t="shared" si="34"/>
        <v>1041038.601</v>
      </c>
      <c r="P340" s="285"/>
    </row>
    <row r="341" spans="2:16" x14ac:dyDescent="0.25">
      <c r="B341"/>
      <c r="D341"/>
      <c r="E341" s="20"/>
      <c r="F341" s="20"/>
    </row>
    <row r="342" spans="2:16" x14ac:dyDescent="0.25">
      <c r="B342"/>
      <c r="D342"/>
      <c r="E342" s="20"/>
      <c r="F342" s="20"/>
    </row>
    <row r="343" spans="2:16" x14ac:dyDescent="0.25">
      <c r="B343"/>
      <c r="D343"/>
      <c r="E343" s="20"/>
      <c r="F343" s="20"/>
    </row>
    <row r="344" spans="2:16" x14ac:dyDescent="0.25">
      <c r="B344"/>
      <c r="D344"/>
      <c r="E344" s="20"/>
      <c r="F344" s="20"/>
    </row>
    <row r="345" spans="2:16" x14ac:dyDescent="0.25">
      <c r="B345"/>
      <c r="D345"/>
      <c r="E345" s="20"/>
      <c r="F345" s="20"/>
    </row>
    <row r="346" spans="2:16" x14ac:dyDescent="0.25">
      <c r="B346"/>
      <c r="D346"/>
      <c r="E346" s="20"/>
      <c r="F346" s="20"/>
    </row>
    <row r="347" spans="2:16" x14ac:dyDescent="0.25">
      <c r="B347"/>
      <c r="D347"/>
      <c r="E347" s="20"/>
      <c r="F347" s="20"/>
    </row>
    <row r="348" spans="2:16" x14ac:dyDescent="0.25">
      <c r="B348"/>
      <c r="D348"/>
      <c r="E348" s="20"/>
      <c r="F348" s="20"/>
    </row>
    <row r="349" spans="2:16" x14ac:dyDescent="0.25">
      <c r="B349"/>
      <c r="D349"/>
      <c r="E349" s="20"/>
      <c r="F349" s="20"/>
    </row>
    <row r="350" spans="2:16" x14ac:dyDescent="0.25">
      <c r="B350"/>
      <c r="D350"/>
      <c r="E350" s="20"/>
      <c r="F350" s="20"/>
    </row>
    <row r="351" spans="2:16" x14ac:dyDescent="0.25">
      <c r="B351"/>
      <c r="D351"/>
      <c r="E351" s="20"/>
      <c r="F351" s="20"/>
    </row>
    <row r="352" spans="2:16" x14ac:dyDescent="0.25">
      <c r="B352"/>
      <c r="D352"/>
      <c r="E352" s="20"/>
      <c r="F352" s="20"/>
    </row>
    <row r="353" spans="2:6" x14ac:dyDescent="0.25">
      <c r="B353"/>
      <c r="D353"/>
      <c r="E353" s="20"/>
      <c r="F353" s="20"/>
    </row>
    <row r="354" spans="2:6" x14ac:dyDescent="0.25">
      <c r="B354"/>
      <c r="D354"/>
      <c r="E354" s="20"/>
      <c r="F354" s="20"/>
    </row>
    <row r="355" spans="2:6" x14ac:dyDescent="0.25">
      <c r="B355"/>
      <c r="D355"/>
      <c r="E355" s="20"/>
      <c r="F355" s="20"/>
    </row>
    <row r="356" spans="2:6" x14ac:dyDescent="0.25">
      <c r="B356"/>
      <c r="D356"/>
      <c r="E356" s="20"/>
      <c r="F356" s="20"/>
    </row>
    <row r="357" spans="2:6" x14ac:dyDescent="0.25">
      <c r="B357"/>
      <c r="D357"/>
      <c r="E357" s="20"/>
      <c r="F357" s="20"/>
    </row>
    <row r="358" spans="2:6" x14ac:dyDescent="0.25">
      <c r="B358"/>
      <c r="D358"/>
      <c r="E358" s="20"/>
      <c r="F358" s="20"/>
    </row>
    <row r="359" spans="2:6" x14ac:dyDescent="0.25">
      <c r="B359"/>
      <c r="D359"/>
      <c r="E359" s="20"/>
      <c r="F359" s="20"/>
    </row>
    <row r="360" spans="2:6" x14ac:dyDescent="0.25">
      <c r="B360"/>
      <c r="D360"/>
      <c r="E360" s="20"/>
      <c r="F360" s="20"/>
    </row>
    <row r="361" spans="2:6" x14ac:dyDescent="0.25">
      <c r="B361"/>
      <c r="D361"/>
      <c r="E361" s="20"/>
      <c r="F361" s="20"/>
    </row>
    <row r="362" spans="2:6" x14ac:dyDescent="0.25">
      <c r="B362"/>
      <c r="D362"/>
      <c r="E362" s="20"/>
      <c r="F362" s="20"/>
    </row>
    <row r="363" spans="2:6" x14ac:dyDescent="0.25">
      <c r="B363"/>
      <c r="D363"/>
      <c r="E363" s="20"/>
      <c r="F363" s="20"/>
    </row>
    <row r="364" spans="2:6" x14ac:dyDescent="0.25">
      <c r="B364"/>
      <c r="D364"/>
      <c r="E364" s="20"/>
      <c r="F364" s="20"/>
    </row>
    <row r="365" spans="2:6" x14ac:dyDescent="0.25">
      <c r="B365"/>
      <c r="D365"/>
      <c r="E365" s="20"/>
      <c r="F365" s="20"/>
    </row>
    <row r="366" spans="2:6" x14ac:dyDescent="0.25">
      <c r="B366"/>
      <c r="D366"/>
      <c r="E366" s="20"/>
      <c r="F366" s="20"/>
    </row>
    <row r="367" spans="2:6" x14ac:dyDescent="0.25">
      <c r="B367"/>
      <c r="D367"/>
      <c r="E367" s="20"/>
      <c r="F367" s="20"/>
    </row>
    <row r="368" spans="2:6" x14ac:dyDescent="0.25">
      <c r="B368"/>
      <c r="D368"/>
      <c r="E368" s="20"/>
      <c r="F368" s="20"/>
    </row>
    <row r="369" spans="2:6" x14ac:dyDescent="0.25">
      <c r="B369"/>
      <c r="D369"/>
      <c r="E369" s="20"/>
      <c r="F369" s="20"/>
    </row>
    <row r="370" spans="2:6" x14ac:dyDescent="0.25">
      <c r="B370"/>
      <c r="D370"/>
      <c r="E370" s="20"/>
      <c r="F370" s="20"/>
    </row>
    <row r="371" spans="2:6" x14ac:dyDescent="0.25">
      <c r="B371"/>
      <c r="D371"/>
      <c r="E371" s="20"/>
      <c r="F371" s="20"/>
    </row>
    <row r="372" spans="2:6" x14ac:dyDescent="0.25">
      <c r="B372"/>
      <c r="D372"/>
      <c r="E372" s="20"/>
      <c r="F372" s="20"/>
    </row>
    <row r="373" spans="2:6" x14ac:dyDescent="0.25">
      <c r="B373"/>
      <c r="D373"/>
      <c r="E373" s="20"/>
      <c r="F373" s="20"/>
    </row>
    <row r="374" spans="2:6" x14ac:dyDescent="0.25">
      <c r="B374"/>
      <c r="D374"/>
      <c r="E374" s="20"/>
      <c r="F374" s="20"/>
    </row>
    <row r="375" spans="2:6" x14ac:dyDescent="0.25">
      <c r="B375"/>
      <c r="D375"/>
      <c r="E375" s="20"/>
      <c r="F375" s="20"/>
    </row>
    <row r="376" spans="2:6" x14ac:dyDescent="0.25">
      <c r="B376"/>
      <c r="D376"/>
      <c r="E376" s="20"/>
      <c r="F376" s="20"/>
    </row>
    <row r="377" spans="2:6" x14ac:dyDescent="0.25">
      <c r="B377"/>
      <c r="D377"/>
      <c r="E377" s="20"/>
      <c r="F377" s="20"/>
    </row>
    <row r="378" spans="2:6" x14ac:dyDescent="0.25">
      <c r="B378"/>
      <c r="D378"/>
      <c r="E378" s="20"/>
      <c r="F378" s="20"/>
    </row>
    <row r="379" spans="2:6" x14ac:dyDescent="0.25">
      <c r="B379"/>
      <c r="D379"/>
      <c r="E379" s="20"/>
      <c r="F379" s="20"/>
    </row>
    <row r="380" spans="2:6" x14ac:dyDescent="0.25">
      <c r="B380"/>
      <c r="D380"/>
      <c r="E380" s="20"/>
      <c r="F380" s="20"/>
    </row>
    <row r="381" spans="2:6" x14ac:dyDescent="0.25">
      <c r="B381"/>
      <c r="D381"/>
      <c r="E381" s="20"/>
      <c r="F381" s="20"/>
    </row>
    <row r="382" spans="2:6" x14ac:dyDescent="0.25">
      <c r="B382"/>
      <c r="D382"/>
      <c r="E382" s="20"/>
      <c r="F382" s="20"/>
    </row>
    <row r="383" spans="2:6" x14ac:dyDescent="0.25">
      <c r="B383"/>
      <c r="D383"/>
      <c r="E383" s="20"/>
      <c r="F383" s="20"/>
    </row>
    <row r="384" spans="2:6" x14ac:dyDescent="0.25">
      <c r="B384"/>
      <c r="D384"/>
      <c r="E384" s="20"/>
      <c r="F384" s="20"/>
    </row>
    <row r="385" spans="2:6" x14ac:dyDescent="0.25">
      <c r="B385"/>
      <c r="D385"/>
      <c r="E385" s="20"/>
      <c r="F385" s="20"/>
    </row>
    <row r="386" spans="2:6" x14ac:dyDescent="0.25">
      <c r="B386"/>
      <c r="D386"/>
      <c r="E386" s="20"/>
      <c r="F386" s="20"/>
    </row>
    <row r="387" spans="2:6" x14ac:dyDescent="0.25">
      <c r="B387"/>
      <c r="D387"/>
      <c r="E387" s="20"/>
      <c r="F387" s="20"/>
    </row>
    <row r="388" spans="2:6" x14ac:dyDescent="0.25">
      <c r="B388"/>
      <c r="D388"/>
      <c r="E388" s="20"/>
      <c r="F388" s="20"/>
    </row>
    <row r="389" spans="2:6" x14ac:dyDescent="0.25">
      <c r="B389"/>
      <c r="D389"/>
      <c r="E389" s="20"/>
      <c r="F389" s="20"/>
    </row>
    <row r="390" spans="2:6" x14ac:dyDescent="0.25">
      <c r="B390"/>
      <c r="D390"/>
      <c r="E390" s="20"/>
      <c r="F390" s="20"/>
    </row>
    <row r="391" spans="2:6" x14ac:dyDescent="0.25">
      <c r="B391"/>
      <c r="D391"/>
      <c r="E391" s="20"/>
      <c r="F391" s="20"/>
    </row>
    <row r="392" spans="2:6" x14ac:dyDescent="0.25">
      <c r="B392"/>
      <c r="D392"/>
      <c r="E392" s="20"/>
      <c r="F392" s="20"/>
    </row>
    <row r="393" spans="2:6" x14ac:dyDescent="0.25">
      <c r="B393"/>
      <c r="D393"/>
      <c r="E393" s="20"/>
      <c r="F393" s="20"/>
    </row>
    <row r="394" spans="2:6" x14ac:dyDescent="0.25">
      <c r="B394"/>
      <c r="D394"/>
      <c r="E394" s="20"/>
      <c r="F394" s="20"/>
    </row>
    <row r="395" spans="2:6" x14ac:dyDescent="0.25">
      <c r="B395"/>
      <c r="D395"/>
      <c r="E395" s="20"/>
      <c r="F395" s="20"/>
    </row>
    <row r="396" spans="2:6" x14ac:dyDescent="0.25">
      <c r="B396"/>
      <c r="D396"/>
      <c r="E396" s="20"/>
      <c r="F396" s="20"/>
    </row>
    <row r="397" spans="2:6" x14ac:dyDescent="0.25">
      <c r="B397"/>
      <c r="D397"/>
      <c r="E397" s="20"/>
      <c r="F397" s="20"/>
    </row>
    <row r="398" spans="2:6" x14ac:dyDescent="0.25">
      <c r="B398"/>
      <c r="D398"/>
      <c r="E398" s="20"/>
      <c r="F398" s="20"/>
    </row>
    <row r="399" spans="2:6" x14ac:dyDescent="0.25">
      <c r="B399"/>
      <c r="D399"/>
      <c r="E399" s="20"/>
      <c r="F399" s="20"/>
    </row>
    <row r="400" spans="2:6" x14ac:dyDescent="0.25">
      <c r="B400"/>
      <c r="D400"/>
      <c r="E400" s="20"/>
      <c r="F400" s="20"/>
    </row>
    <row r="401" spans="2:6" x14ac:dyDescent="0.25">
      <c r="B401"/>
      <c r="D401"/>
      <c r="E401" s="20"/>
      <c r="F401" s="20"/>
    </row>
    <row r="402" spans="2:6" x14ac:dyDescent="0.25">
      <c r="B402"/>
      <c r="D402"/>
      <c r="E402" s="20"/>
      <c r="F402" s="20"/>
    </row>
    <row r="403" spans="2:6" x14ac:dyDescent="0.25">
      <c r="B403"/>
      <c r="D403"/>
      <c r="E403" s="20"/>
      <c r="F403" s="20"/>
    </row>
    <row r="404" spans="2:6" x14ac:dyDescent="0.25">
      <c r="B404"/>
      <c r="D404"/>
      <c r="E404" s="20"/>
      <c r="F404" s="20"/>
    </row>
    <row r="405" spans="2:6" x14ac:dyDescent="0.25">
      <c r="B405"/>
      <c r="D405"/>
      <c r="E405" s="20"/>
      <c r="F405" s="20"/>
    </row>
    <row r="406" spans="2:6" x14ac:dyDescent="0.25">
      <c r="B406"/>
      <c r="D406"/>
      <c r="E406" s="20"/>
      <c r="F406" s="20"/>
    </row>
    <row r="407" spans="2:6" x14ac:dyDescent="0.25">
      <c r="B407"/>
      <c r="D407"/>
      <c r="E407" s="20"/>
      <c r="F407" s="20"/>
    </row>
    <row r="408" spans="2:6" x14ac:dyDescent="0.25">
      <c r="B408"/>
      <c r="D408"/>
      <c r="E408" s="20"/>
      <c r="F408" s="20"/>
    </row>
    <row r="409" spans="2:6" x14ac:dyDescent="0.25">
      <c r="B409"/>
      <c r="D409"/>
      <c r="E409" s="20"/>
      <c r="F409" s="20"/>
    </row>
    <row r="410" spans="2:6" x14ac:dyDescent="0.25">
      <c r="B410"/>
      <c r="D410"/>
      <c r="E410" s="20"/>
      <c r="F410" s="20"/>
    </row>
    <row r="411" spans="2:6" x14ac:dyDescent="0.25">
      <c r="B411"/>
      <c r="D411"/>
      <c r="E411" s="20"/>
      <c r="F411" s="20"/>
    </row>
    <row r="412" spans="2:6" x14ac:dyDescent="0.25">
      <c r="B412"/>
      <c r="D412"/>
      <c r="E412" s="20"/>
      <c r="F412" s="20"/>
    </row>
    <row r="413" spans="2:6" x14ac:dyDescent="0.25">
      <c r="B413"/>
      <c r="D413"/>
      <c r="E413" s="20"/>
      <c r="F413" s="20"/>
    </row>
    <row r="414" spans="2:6" x14ac:dyDescent="0.25">
      <c r="B414"/>
      <c r="D414"/>
      <c r="E414" s="20"/>
      <c r="F414" s="20"/>
    </row>
    <row r="415" spans="2:6" x14ac:dyDescent="0.25">
      <c r="B415"/>
      <c r="D415"/>
      <c r="E415" s="20"/>
      <c r="F415" s="20"/>
    </row>
    <row r="416" spans="2:6" x14ac:dyDescent="0.25">
      <c r="B416"/>
      <c r="D416"/>
      <c r="E416" s="20"/>
      <c r="F416" s="20"/>
    </row>
    <row r="417" spans="2:6" x14ac:dyDescent="0.25">
      <c r="B417"/>
      <c r="D417"/>
      <c r="E417" s="20"/>
      <c r="F417" s="20"/>
    </row>
    <row r="418" spans="2:6" x14ac:dyDescent="0.25">
      <c r="B418"/>
      <c r="D418"/>
      <c r="E418" s="20"/>
      <c r="F418" s="20"/>
    </row>
    <row r="419" spans="2:6" x14ac:dyDescent="0.25">
      <c r="B419"/>
      <c r="D419"/>
      <c r="E419" s="20"/>
      <c r="F419" s="20"/>
    </row>
    <row r="420" spans="2:6" x14ac:dyDescent="0.25">
      <c r="B420"/>
      <c r="D420"/>
      <c r="E420" s="20"/>
      <c r="F420" s="20"/>
    </row>
    <row r="421" spans="2:6" x14ac:dyDescent="0.25">
      <c r="B421"/>
      <c r="D421"/>
      <c r="E421" s="20"/>
      <c r="F421" s="20"/>
    </row>
    <row r="422" spans="2:6" x14ac:dyDescent="0.25">
      <c r="B422"/>
      <c r="D422"/>
      <c r="E422" s="20"/>
      <c r="F422" s="20"/>
    </row>
    <row r="423" spans="2:6" x14ac:dyDescent="0.25">
      <c r="B423"/>
      <c r="D423"/>
      <c r="E423" s="20"/>
      <c r="F423" s="20"/>
    </row>
    <row r="424" spans="2:6" x14ac:dyDescent="0.25">
      <c r="B424"/>
      <c r="D424"/>
      <c r="E424" s="20"/>
      <c r="F424" s="20"/>
    </row>
    <row r="425" spans="2:6" x14ac:dyDescent="0.25">
      <c r="B425"/>
      <c r="D425"/>
      <c r="E425" s="20"/>
      <c r="F425" s="20"/>
    </row>
    <row r="426" spans="2:6" x14ac:dyDescent="0.25">
      <c r="B426"/>
      <c r="D426"/>
      <c r="E426" s="20"/>
      <c r="F426" s="20"/>
    </row>
    <row r="427" spans="2:6" x14ac:dyDescent="0.25">
      <c r="B427"/>
      <c r="D427"/>
      <c r="E427" s="20"/>
      <c r="F427" s="20"/>
    </row>
    <row r="428" spans="2:6" x14ac:dyDescent="0.25">
      <c r="B428"/>
      <c r="D428"/>
      <c r="E428" s="20"/>
      <c r="F428" s="20"/>
    </row>
    <row r="429" spans="2:6" x14ac:dyDescent="0.25">
      <c r="B429"/>
      <c r="D429"/>
      <c r="E429" s="20"/>
      <c r="F429" s="20"/>
    </row>
    <row r="430" spans="2:6" x14ac:dyDescent="0.25">
      <c r="B430"/>
      <c r="D430"/>
      <c r="E430" s="20"/>
      <c r="F430" s="20"/>
    </row>
    <row r="431" spans="2:6" x14ac:dyDescent="0.25">
      <c r="B431"/>
      <c r="D431"/>
      <c r="E431" s="20"/>
      <c r="F431" s="20"/>
    </row>
    <row r="432" spans="2:6" x14ac:dyDescent="0.25">
      <c r="B432"/>
      <c r="D432"/>
      <c r="E432" s="20"/>
      <c r="F432" s="20"/>
    </row>
    <row r="433" spans="2:6" x14ac:dyDescent="0.25">
      <c r="B433"/>
      <c r="D433"/>
      <c r="E433" s="20"/>
      <c r="F433" s="20"/>
    </row>
    <row r="434" spans="2:6" x14ac:dyDescent="0.25">
      <c r="B434"/>
      <c r="D434"/>
      <c r="E434" s="20"/>
      <c r="F434" s="20"/>
    </row>
    <row r="435" spans="2:6" x14ac:dyDescent="0.25">
      <c r="B435"/>
      <c r="D435"/>
      <c r="E435" s="20"/>
      <c r="F435" s="20"/>
    </row>
    <row r="436" spans="2:6" x14ac:dyDescent="0.25">
      <c r="B436"/>
      <c r="D436"/>
      <c r="E436" s="20"/>
      <c r="F436" s="20"/>
    </row>
    <row r="437" spans="2:6" x14ac:dyDescent="0.25">
      <c r="B437"/>
      <c r="D437"/>
      <c r="E437" s="20"/>
      <c r="F437" s="20"/>
    </row>
    <row r="438" spans="2:6" x14ac:dyDescent="0.25">
      <c r="B438"/>
      <c r="D438"/>
      <c r="E438" s="20"/>
      <c r="F438" s="20"/>
    </row>
    <row r="439" spans="2:6" x14ac:dyDescent="0.25">
      <c r="B439"/>
      <c r="D439"/>
      <c r="E439" s="20"/>
      <c r="F439" s="20"/>
    </row>
    <row r="440" spans="2:6" x14ac:dyDescent="0.25">
      <c r="B440"/>
      <c r="D440"/>
      <c r="E440" s="20"/>
      <c r="F440" s="20"/>
    </row>
    <row r="441" spans="2:6" x14ac:dyDescent="0.25">
      <c r="B441"/>
      <c r="D441"/>
      <c r="E441" s="20"/>
      <c r="F441" s="20"/>
    </row>
    <row r="442" spans="2:6" x14ac:dyDescent="0.25">
      <c r="B442"/>
      <c r="D442"/>
      <c r="E442" s="20"/>
      <c r="F442" s="20"/>
    </row>
    <row r="443" spans="2:6" x14ac:dyDescent="0.25">
      <c r="B443"/>
      <c r="D443"/>
      <c r="E443" s="20"/>
      <c r="F443" s="20"/>
    </row>
    <row r="444" spans="2:6" x14ac:dyDescent="0.25">
      <c r="B444"/>
      <c r="D444"/>
      <c r="E444" s="20"/>
      <c r="F444" s="20"/>
    </row>
    <row r="445" spans="2:6" x14ac:dyDescent="0.25">
      <c r="B445"/>
      <c r="D445"/>
      <c r="E445" s="20"/>
      <c r="F445" s="20"/>
    </row>
    <row r="446" spans="2:6" x14ac:dyDescent="0.25">
      <c r="B446"/>
      <c r="D446"/>
      <c r="E446" s="20"/>
      <c r="F446" s="20"/>
    </row>
    <row r="447" spans="2:6" x14ac:dyDescent="0.25">
      <c r="B447"/>
      <c r="D447"/>
      <c r="E447" s="20"/>
      <c r="F447" s="20"/>
    </row>
    <row r="448" spans="2:6" x14ac:dyDescent="0.25">
      <c r="B448"/>
      <c r="D448"/>
      <c r="E448" s="20"/>
      <c r="F448" s="20"/>
    </row>
    <row r="449" spans="2:6" x14ac:dyDescent="0.25">
      <c r="B449"/>
      <c r="D449"/>
      <c r="E449" s="20"/>
      <c r="F449" s="20"/>
    </row>
    <row r="450" spans="2:6" x14ac:dyDescent="0.25">
      <c r="B450"/>
      <c r="D450"/>
      <c r="E450" s="20"/>
      <c r="F450" s="20"/>
    </row>
    <row r="451" spans="2:6" x14ac:dyDescent="0.25">
      <c r="B451"/>
      <c r="D451"/>
      <c r="E451" s="20"/>
      <c r="F451" s="20"/>
    </row>
    <row r="452" spans="2:6" x14ac:dyDescent="0.25">
      <c r="B452"/>
      <c r="D452"/>
      <c r="E452" s="20"/>
      <c r="F452" s="20"/>
    </row>
    <row r="453" spans="2:6" x14ac:dyDescent="0.25">
      <c r="B453"/>
      <c r="D453"/>
      <c r="E453" s="20"/>
      <c r="F453" s="20"/>
    </row>
    <row r="454" spans="2:6" x14ac:dyDescent="0.25">
      <c r="B454"/>
      <c r="D454"/>
      <c r="E454" s="20"/>
      <c r="F454" s="20"/>
    </row>
    <row r="455" spans="2:6" x14ac:dyDescent="0.25">
      <c r="B455"/>
      <c r="D455"/>
      <c r="E455" s="20"/>
      <c r="F455" s="20"/>
    </row>
    <row r="456" spans="2:6" x14ac:dyDescent="0.25">
      <c r="B456"/>
      <c r="D456"/>
      <c r="E456" s="20"/>
      <c r="F456" s="20"/>
    </row>
    <row r="457" spans="2:6" x14ac:dyDescent="0.25">
      <c r="B457"/>
      <c r="D457"/>
      <c r="E457" s="20"/>
      <c r="F457" s="20"/>
    </row>
    <row r="458" spans="2:6" x14ac:dyDescent="0.25">
      <c r="B458"/>
      <c r="D458"/>
      <c r="E458" s="20"/>
      <c r="F458" s="20"/>
    </row>
    <row r="459" spans="2:6" x14ac:dyDescent="0.25">
      <c r="B459"/>
      <c r="D459"/>
      <c r="E459" s="20"/>
      <c r="F459" s="20"/>
    </row>
    <row r="460" spans="2:6" x14ac:dyDescent="0.25">
      <c r="B460"/>
      <c r="D460"/>
      <c r="E460" s="20"/>
      <c r="F460" s="20"/>
    </row>
    <row r="461" spans="2:6" x14ac:dyDescent="0.25">
      <c r="B461"/>
      <c r="D461"/>
      <c r="E461" s="20"/>
      <c r="F461" s="20"/>
    </row>
    <row r="462" spans="2:6" x14ac:dyDescent="0.25">
      <c r="B462"/>
      <c r="D462"/>
      <c r="E462" s="20"/>
      <c r="F462" s="20"/>
    </row>
    <row r="463" spans="2:6" x14ac:dyDescent="0.25">
      <c r="B463"/>
      <c r="D463"/>
      <c r="E463" s="20"/>
      <c r="F463" s="20"/>
    </row>
    <row r="464" spans="2:6" x14ac:dyDescent="0.25">
      <c r="B464"/>
      <c r="D464"/>
      <c r="E464" s="20"/>
      <c r="F464" s="20"/>
    </row>
    <row r="465" spans="2:6" x14ac:dyDescent="0.25">
      <c r="B465"/>
      <c r="D465"/>
      <c r="E465" s="20"/>
      <c r="F465" s="20"/>
    </row>
    <row r="466" spans="2:6" x14ac:dyDescent="0.25">
      <c r="B466"/>
      <c r="D466"/>
      <c r="E466" s="20"/>
      <c r="F466" s="20"/>
    </row>
    <row r="467" spans="2:6" x14ac:dyDescent="0.25">
      <c r="B467"/>
      <c r="D467"/>
      <c r="E467" s="20"/>
      <c r="F467" s="20"/>
    </row>
    <row r="468" spans="2:6" x14ac:dyDescent="0.25">
      <c r="B468"/>
      <c r="D468"/>
      <c r="E468" s="20"/>
      <c r="F468" s="20"/>
    </row>
    <row r="469" spans="2:6" x14ac:dyDescent="0.25">
      <c r="B469"/>
      <c r="D469"/>
      <c r="E469" s="20"/>
      <c r="F469" s="20"/>
    </row>
    <row r="470" spans="2:6" x14ac:dyDescent="0.25">
      <c r="B470"/>
      <c r="D470"/>
      <c r="E470" s="20"/>
      <c r="F470" s="20"/>
    </row>
    <row r="471" spans="2:6" x14ac:dyDescent="0.25">
      <c r="B471"/>
      <c r="D471"/>
      <c r="E471" s="20"/>
      <c r="F471" s="20"/>
    </row>
    <row r="472" spans="2:6" x14ac:dyDescent="0.25">
      <c r="B472"/>
      <c r="D472"/>
      <c r="E472" s="20"/>
      <c r="F472" s="20"/>
    </row>
    <row r="473" spans="2:6" x14ac:dyDescent="0.25">
      <c r="B473"/>
      <c r="D473"/>
      <c r="E473" s="20"/>
      <c r="F473" s="20"/>
    </row>
    <row r="474" spans="2:6" x14ac:dyDescent="0.25">
      <c r="B474"/>
      <c r="D474"/>
      <c r="E474" s="20"/>
      <c r="F474" s="20"/>
    </row>
    <row r="475" spans="2:6" x14ac:dyDescent="0.25">
      <c r="B475"/>
      <c r="D475"/>
      <c r="E475" s="20"/>
      <c r="F475" s="20"/>
    </row>
    <row r="476" spans="2:6" x14ac:dyDescent="0.25">
      <c r="B476"/>
      <c r="D476"/>
      <c r="E476" s="20"/>
      <c r="F476" s="20"/>
    </row>
    <row r="477" spans="2:6" x14ac:dyDescent="0.25">
      <c r="B477"/>
      <c r="D477"/>
      <c r="E477" s="20"/>
      <c r="F477" s="20"/>
    </row>
    <row r="478" spans="2:6" x14ac:dyDescent="0.25">
      <c r="B478"/>
      <c r="D478"/>
      <c r="E478" s="20"/>
      <c r="F478" s="20"/>
    </row>
    <row r="479" spans="2:6" x14ac:dyDescent="0.25">
      <c r="B479"/>
      <c r="D479"/>
      <c r="E479" s="20"/>
      <c r="F479" s="20"/>
    </row>
    <row r="480" spans="2:6" x14ac:dyDescent="0.25">
      <c r="B480"/>
      <c r="D480"/>
      <c r="E480" s="20"/>
      <c r="F480" s="20"/>
    </row>
    <row r="481" spans="2:6" x14ac:dyDescent="0.25">
      <c r="B481"/>
      <c r="D481"/>
      <c r="E481" s="20"/>
      <c r="F481" s="20"/>
    </row>
    <row r="482" spans="2:6" x14ac:dyDescent="0.25">
      <c r="B482"/>
      <c r="D482"/>
      <c r="E482" s="20"/>
      <c r="F482" s="20"/>
    </row>
    <row r="483" spans="2:6" x14ac:dyDescent="0.25">
      <c r="B483"/>
      <c r="D483"/>
      <c r="E483" s="20"/>
      <c r="F483" s="20"/>
    </row>
    <row r="484" spans="2:6" x14ac:dyDescent="0.25">
      <c r="B484"/>
      <c r="D484"/>
      <c r="E484" s="20"/>
      <c r="F484" s="20"/>
    </row>
    <row r="485" spans="2:6" x14ac:dyDescent="0.25">
      <c r="B485"/>
      <c r="D485"/>
      <c r="E485" s="20"/>
      <c r="F485" s="20"/>
    </row>
    <row r="486" spans="2:6" x14ac:dyDescent="0.25">
      <c r="B486"/>
      <c r="D486"/>
      <c r="E486" s="20"/>
      <c r="F486" s="20"/>
    </row>
    <row r="487" spans="2:6" x14ac:dyDescent="0.25">
      <c r="B487"/>
      <c r="D487"/>
      <c r="E487" s="20"/>
      <c r="F487" s="20"/>
    </row>
    <row r="488" spans="2:6" x14ac:dyDescent="0.25">
      <c r="B488"/>
      <c r="D488"/>
      <c r="E488" s="20"/>
      <c r="F488" s="20"/>
    </row>
    <row r="489" spans="2:6" x14ac:dyDescent="0.25">
      <c r="B489"/>
      <c r="D489"/>
      <c r="E489" s="20"/>
      <c r="F489" s="20"/>
    </row>
    <row r="490" spans="2:6" x14ac:dyDescent="0.25">
      <c r="B490"/>
      <c r="D490"/>
      <c r="E490" s="20"/>
      <c r="F490" s="20"/>
    </row>
    <row r="491" spans="2:6" x14ac:dyDescent="0.25">
      <c r="B491"/>
      <c r="D491"/>
      <c r="E491" s="20"/>
      <c r="F491" s="20"/>
    </row>
    <row r="492" spans="2:6" x14ac:dyDescent="0.25">
      <c r="B492"/>
      <c r="D492"/>
      <c r="E492" s="20"/>
      <c r="F492" s="20"/>
    </row>
    <row r="493" spans="2:6" x14ac:dyDescent="0.25">
      <c r="B493"/>
      <c r="D493"/>
      <c r="E493" s="20"/>
      <c r="F493" s="20"/>
    </row>
    <row r="494" spans="2:6" x14ac:dyDescent="0.25">
      <c r="B494"/>
      <c r="D494"/>
      <c r="E494" s="20"/>
      <c r="F494" s="20"/>
    </row>
    <row r="495" spans="2:6" x14ac:dyDescent="0.25">
      <c r="B495"/>
      <c r="D495"/>
      <c r="E495" s="20"/>
      <c r="F495" s="20"/>
    </row>
    <row r="496" spans="2:6" x14ac:dyDescent="0.25">
      <c r="B496"/>
      <c r="D496"/>
      <c r="E496" s="20"/>
      <c r="F496" s="20"/>
    </row>
    <row r="497" spans="2:6" x14ac:dyDescent="0.25">
      <c r="B497"/>
      <c r="D497"/>
      <c r="E497" s="20"/>
      <c r="F497" s="20"/>
    </row>
  </sheetData>
  <mergeCells count="3">
    <mergeCell ref="AF11:AJ11"/>
    <mergeCell ref="AF12:AJ12"/>
    <mergeCell ref="AF13:AJ13"/>
  </mergeCells>
  <phoneticPr fontId="0" type="noConversion"/>
  <printOptions horizontalCentered="1" verticalCentered="1"/>
  <pageMargins left="0.78740157480314965" right="0.78740157480314965" top="0.5" bottom="0.3" header="0.51181102362204722" footer="0.51181102362204722"/>
  <pageSetup scale="47" orientation="portrait" horizontalDpi="300" verticalDpi="180" r:id="rId1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-0.499984740745262"/>
    <pageSetUpPr fitToPage="1"/>
  </sheetPr>
  <dimension ref="A2:O110"/>
  <sheetViews>
    <sheetView tabSelected="1" zoomScale="90" zoomScaleNormal="90" workbookViewId="0">
      <selection activeCell="O32" sqref="O32"/>
    </sheetView>
  </sheetViews>
  <sheetFormatPr baseColWidth="10" defaultColWidth="11.44140625" defaultRowHeight="13.8" x14ac:dyDescent="0.3"/>
  <cols>
    <col min="1" max="1" width="5.5546875" style="230" customWidth="1"/>
    <col min="2" max="2" width="7" style="230" customWidth="1"/>
    <col min="3" max="3" width="9" style="230" customWidth="1"/>
    <col min="4" max="4" width="11.44140625" style="230"/>
    <col min="5" max="5" width="9.5546875" style="230" customWidth="1"/>
    <col min="6" max="6" width="9.88671875" style="230" bestFit="1" customWidth="1"/>
    <col min="7" max="7" width="8.109375" style="230" customWidth="1"/>
    <col min="8" max="8" width="11.44140625" style="230"/>
    <col min="9" max="9" width="7.33203125" style="230" bestFit="1" customWidth="1"/>
    <col min="10" max="10" width="12.33203125" style="230" bestFit="1" customWidth="1"/>
    <col min="11" max="11" width="8.88671875" style="230" customWidth="1"/>
    <col min="12" max="12" width="10.109375" style="230" customWidth="1"/>
    <col min="13" max="13" width="4.44140625" style="230" customWidth="1"/>
    <col min="14" max="14" width="12.44140625" style="230" bestFit="1" customWidth="1"/>
    <col min="15" max="15" width="11.44140625" style="230"/>
    <col min="16" max="16" width="13.5546875" style="230" customWidth="1"/>
    <col min="17" max="16384" width="11.44140625" style="230"/>
  </cols>
  <sheetData>
    <row r="2" spans="1:15" ht="20.25" customHeight="1" x14ac:dyDescent="0.35">
      <c r="B2" s="315" t="s">
        <v>67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231"/>
    </row>
    <row r="3" spans="1:15" ht="15.75" customHeight="1" x14ac:dyDescent="0.3">
      <c r="A3" s="232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5" x14ac:dyDescent="0.3">
      <c r="N4" s="230" t="s">
        <v>49</v>
      </c>
    </row>
    <row r="5" spans="1:15" x14ac:dyDescent="0.3">
      <c r="N5" s="233"/>
      <c r="O5" s="233"/>
    </row>
    <row r="17" spans="3:14" x14ac:dyDescent="0.3">
      <c r="N17" s="230" t="s">
        <v>57</v>
      </c>
    </row>
    <row r="31" spans="3:14" ht="18" customHeight="1" x14ac:dyDescent="0.3"/>
    <row r="32" spans="3:14" ht="15.6" x14ac:dyDescent="0.3">
      <c r="C32" s="234" t="s">
        <v>48</v>
      </c>
    </row>
    <row r="33" spans="2:13" ht="16.5" customHeight="1" x14ac:dyDescent="0.3">
      <c r="C33" s="234" t="s">
        <v>66</v>
      </c>
    </row>
    <row r="34" spans="2:13" ht="57" customHeight="1" x14ac:dyDescent="0.3">
      <c r="C34" s="316" t="s">
        <v>68</v>
      </c>
      <c r="D34" s="316"/>
      <c r="E34" s="316"/>
      <c r="F34" s="316"/>
      <c r="G34" s="316"/>
      <c r="H34" s="316"/>
      <c r="I34" s="316"/>
      <c r="J34" s="316"/>
      <c r="K34" s="316"/>
      <c r="L34" s="316"/>
      <c r="M34" s="316"/>
    </row>
    <row r="35" spans="2:13" ht="3.75" customHeight="1" x14ac:dyDescent="0.3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 x14ac:dyDescent="0.3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hidden="1" customHeight="1" x14ac:dyDescent="0.3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hidden="1" customHeight="1" x14ac:dyDescent="0.3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hidden="1" customHeight="1" x14ac:dyDescent="0.3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hidden="1" customHeight="1" x14ac:dyDescent="0.3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hidden="1" customHeight="1" x14ac:dyDescent="0.3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hidden="1" customHeight="1" x14ac:dyDescent="0.3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hidden="1" customHeight="1" x14ac:dyDescent="0.3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hidden="1" customHeight="1" x14ac:dyDescent="0.3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hidden="1" customHeight="1" x14ac:dyDescent="0.3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hidden="1" customHeight="1" x14ac:dyDescent="0.3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hidden="1" customHeight="1" x14ac:dyDescent="0.3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hidden="1" customHeight="1" x14ac:dyDescent="0.3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1:14" ht="3.75" hidden="1" customHeight="1" x14ac:dyDescent="0.3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1:14" ht="10.199999999999999" hidden="1" customHeight="1" x14ac:dyDescent="0.3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4" ht="10.199999999999999" customHeight="1" x14ac:dyDescent="0.3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spans="1:14" x14ac:dyDescent="0.3">
      <c r="N53" s="238"/>
    </row>
    <row r="67" spans="3:14" x14ac:dyDescent="0.3">
      <c r="N67" s="233"/>
    </row>
    <row r="78" spans="3:14" ht="15.6" x14ac:dyDescent="0.3">
      <c r="C78" s="234" t="s">
        <v>61</v>
      </c>
    </row>
    <row r="79" spans="3:14" ht="48.75" customHeight="1" x14ac:dyDescent="0.3">
      <c r="C79" s="311" t="s">
        <v>69</v>
      </c>
      <c r="D79" s="311"/>
      <c r="E79" s="311"/>
      <c r="F79" s="311"/>
      <c r="G79" s="311"/>
      <c r="H79" s="311"/>
      <c r="I79" s="311"/>
      <c r="J79" s="311"/>
      <c r="K79" s="311"/>
      <c r="L79" s="311"/>
      <c r="M79" s="311"/>
    </row>
    <row r="80" spans="3:14" ht="9" customHeight="1" x14ac:dyDescent="0.3"/>
    <row r="81" spans="1:15" ht="44.25" customHeight="1" x14ac:dyDescent="0.3">
      <c r="M81" s="239"/>
      <c r="O81" s="240"/>
    </row>
    <row r="82" spans="1:15" ht="46.5" customHeight="1" x14ac:dyDescent="0.3">
      <c r="B82" s="313"/>
      <c r="C82" s="314"/>
      <c r="D82" s="314"/>
      <c r="E82" s="314"/>
      <c r="F82" s="314"/>
      <c r="G82" s="314"/>
      <c r="H82" s="314"/>
      <c r="I82" s="314"/>
      <c r="J82" s="314"/>
      <c r="K82" s="314"/>
      <c r="L82" s="314"/>
      <c r="M82" s="239"/>
      <c r="O82" s="240"/>
    </row>
    <row r="83" spans="1:15" ht="4.5" customHeight="1" x14ac:dyDescent="0.3">
      <c r="A83" s="235"/>
      <c r="B83" s="312" t="s">
        <v>57</v>
      </c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239"/>
    </row>
    <row r="84" spans="1:15" ht="15" customHeight="1" x14ac:dyDescent="0.3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:15" x14ac:dyDescent="0.3">
      <c r="N87" s="240"/>
      <c r="O87" s="241"/>
    </row>
    <row r="110" spans="2:2" x14ac:dyDescent="0.3">
      <c r="B110" s="230" t="s">
        <v>37</v>
      </c>
    </row>
  </sheetData>
  <mergeCells count="5">
    <mergeCell ref="C79:M79"/>
    <mergeCell ref="B83:L83"/>
    <mergeCell ref="B82:L82"/>
    <mergeCell ref="B2:M3"/>
    <mergeCell ref="C34:M34"/>
  </mergeCells>
  <phoneticPr fontId="0" type="noConversion"/>
  <printOptions horizontalCentered="1"/>
  <pageMargins left="0.74803149606299213" right="0.74803149606299213" top="1.0629921259842521" bottom="0.74803149606299213" header="0" footer="0.47244094488188981"/>
  <pageSetup paperSize="9" scale="70" orientation="portrait" r:id="rId1"/>
  <headerFooter alignWithMargins="0">
    <oddFooter>&amp;L&amp;"Arial,Cursiva"&amp;9Fuente: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ESTRUCTURA oil (no)</vt:lpstr>
      <vt:lpstr>ESTRUCTURA gas (no)</vt:lpstr>
      <vt:lpstr>PRODUCCIÓN DE HC</vt:lpstr>
      <vt:lpstr>'ESTRUCTURA gas (no)'!Área_de_impresión</vt:lpstr>
      <vt:lpstr>'ESTRUCTURA oil (no)'!Área_de_impresión</vt:lpstr>
      <vt:lpstr>'PRODUCCIÓN DE HC'!Área_de_impresión</vt:lpstr>
      <vt:lpstr>'ESTRUCTURA oil (no)'!Títulos_a_imprimir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2021-09-09T23:20:20Z</cp:lastPrinted>
  <dcterms:created xsi:type="dcterms:W3CDTF">1997-07-01T22:48:52Z</dcterms:created>
  <dcterms:modified xsi:type="dcterms:W3CDTF">2021-12-10T17:29:28Z</dcterms:modified>
</cp:coreProperties>
</file>